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5685" activeTab="5"/>
  </bookViews>
  <sheets>
    <sheet name="POS Mediu" sheetId="1" r:id="rId1"/>
    <sheet name="POS CCE" sheetId="2" r:id="rId2"/>
    <sheet name="POS DRU" sheetId="3" r:id="rId3"/>
    <sheet name="POR" sheetId="4" r:id="rId4"/>
    <sheet name="PODCA" sheetId="5" r:id="rId5"/>
    <sheet name="POST" sheetId="6" r:id="rId6"/>
    <sheet name="POAT" sheetId="7" r:id="rId7"/>
    <sheet name="Centralizare" sheetId="8" r:id="rId8"/>
  </sheets>
  <externalReferences>
    <externalReference r:id="rId11"/>
    <externalReference r:id="rId12"/>
    <externalReference r:id="rId13"/>
    <externalReference r:id="rId14"/>
    <externalReference r:id="rId15"/>
  </externalReferences>
  <definedNames>
    <definedName name="_ftn1_5">#REF!</definedName>
    <definedName name="_ftn2_5">#N/A</definedName>
    <definedName name="_ftn3_5">#N/A</definedName>
    <definedName name="_ftn4_5">#REF!</definedName>
    <definedName name="_ftn5_5">#REF!</definedName>
    <definedName name="_ftn6_5">#REF!</definedName>
    <definedName name="_ftnref1_5">#REF!</definedName>
    <definedName name="_ftnref2_5">#REF!</definedName>
    <definedName name="_ftnref3_5">#REF!</definedName>
    <definedName name="_ftnref4_5">#REF!</definedName>
    <definedName name="_ftnref5_5">#REF!</definedName>
    <definedName name="_ftnref6_5">#REF!</definedName>
    <definedName name="_xlnm.Print_Area_7">#REF!</definedName>
    <definedName name="_xlnm.Print_Area" localSheetId="6">'POAT'!$A$1:$O$141</definedName>
    <definedName name="_xlnm.Print_Area" localSheetId="4">'PODCA'!$A$1:$N$45</definedName>
    <definedName name="_xlnm.Print_Area" localSheetId="3">'POR'!$A$1:$N$175</definedName>
    <definedName name="_xlnm.Print_Area" localSheetId="1">'POS CCE'!$A$1:$N$147</definedName>
    <definedName name="_xlnm.Print_Area" localSheetId="5">'POST'!$A$1:$O$89</definedName>
  </definedNames>
  <calcPr fullCalcOnLoad="1"/>
</workbook>
</file>

<file path=xl/comments2.xml><?xml version="1.0" encoding="utf-8"?>
<comments xmlns="http://schemas.openxmlformats.org/spreadsheetml/2006/main">
  <authors>
    <author>cristina.patrascoiu</author>
    <author>Mirela_Tautu</author>
  </authors>
  <commentList>
    <comment ref="C30" authorId="0">
      <text>
        <r>
          <rPr>
            <b/>
            <sz val="8"/>
            <rFont val="Tahoma"/>
            <family val="0"/>
          </rPr>
          <t>cristina.patrascoiu:</t>
        </r>
        <r>
          <rPr>
            <sz val="8"/>
            <rFont val="Tahoma"/>
            <family val="0"/>
          </rPr>
          <t xml:space="preserve">
Intrat in implementare</t>
        </r>
      </text>
    </comment>
    <comment ref="M73" authorId="1">
      <text>
        <r>
          <rPr>
            <b/>
            <sz val="8"/>
            <rFont val="Tahoma"/>
            <family val="0"/>
          </rPr>
          <t>Mirela_Tautu:</t>
        </r>
        <r>
          <rPr>
            <sz val="8"/>
            <rFont val="Tahoma"/>
            <family val="0"/>
          </rPr>
          <t xml:space="preserve">
300 e/pers/an x 50 pers x 5 ani</t>
        </r>
      </text>
    </comment>
  </commentList>
</comments>
</file>

<file path=xl/comments6.xml><?xml version="1.0" encoding="utf-8"?>
<comments xmlns="http://schemas.openxmlformats.org/spreadsheetml/2006/main">
  <authors>
    <author>Cristina.Badescu</author>
    <author>Teodora.Zorica</author>
  </authors>
  <commentList>
    <comment ref="A8" authorId="0">
      <text>
        <r>
          <rPr>
            <b/>
            <sz val="9"/>
            <rFont val="Tahoma"/>
            <family val="2"/>
          </rPr>
          <t>Cristina.Badescu:</t>
        </r>
        <r>
          <rPr>
            <sz val="9"/>
            <rFont val="Tahoma"/>
            <family val="2"/>
          </rPr>
          <t xml:space="preserve">
titlu initial: Asistenta tehnica pentru activitatea de evaluare si selectie a proiectelor POS-T</t>
        </r>
      </text>
    </comment>
    <comment ref="A11" authorId="1">
      <text>
        <r>
          <rPr>
            <b/>
            <sz val="9"/>
            <rFont val="Tahoma"/>
            <family val="2"/>
          </rPr>
          <t>Teodora.Zorica:</t>
        </r>
        <r>
          <rPr>
            <sz val="9"/>
            <rFont val="Tahoma"/>
            <family val="2"/>
          </rPr>
          <t xml:space="preserve">
Asistenta tehnica pentru sprijin instituțional in cadrul activităților aferente verificării cererilor de rambursare si a verificărilor la sediul Beneficiarilor POS Transport</t>
        </r>
      </text>
    </comment>
    <comment ref="A12" authorId="0">
      <text>
        <r>
          <rPr>
            <b/>
            <sz val="9"/>
            <rFont val="Tahoma"/>
            <family val="2"/>
          </rPr>
          <t>Cristina.Badescu:</t>
        </r>
        <r>
          <rPr>
            <sz val="9"/>
            <rFont val="Tahoma"/>
            <family val="2"/>
          </rPr>
          <t xml:space="preserve">
Titlu inițial : Asistenta juridica pentru AM POST si beneficiarii POST</t>
        </r>
      </text>
    </comment>
    <comment ref="B12" authorId="1">
      <text>
        <r>
          <rPr>
            <b/>
            <sz val="9"/>
            <rFont val="Tahoma"/>
            <family val="2"/>
          </rPr>
          <t>Teodora.Zorica:</t>
        </r>
        <r>
          <rPr>
            <sz val="9"/>
            <rFont val="Tahoma"/>
            <family val="2"/>
          </rPr>
          <t xml:space="preserve">
buget modificat - 2 loturi </t>
        </r>
      </text>
    </comment>
    <comment ref="A17" authorId="0">
      <text>
        <r>
          <rPr>
            <b/>
            <sz val="9"/>
            <rFont val="Tahoma"/>
            <family val="2"/>
          </rPr>
          <t>Cristina.Badescu:</t>
        </r>
        <r>
          <rPr>
            <sz val="9"/>
            <rFont val="Tahoma"/>
            <family val="2"/>
          </rPr>
          <t xml:space="preserve">
proiect adăugat</t>
        </r>
      </text>
    </comment>
    <comment ref="A18" authorId="0">
      <text>
        <r>
          <rPr>
            <b/>
            <sz val="9"/>
            <rFont val="Tahoma"/>
            <family val="2"/>
          </rPr>
          <t>Cristina.Badescu:</t>
        </r>
        <r>
          <rPr>
            <sz val="9"/>
            <rFont val="Tahoma"/>
            <family val="2"/>
          </rPr>
          <t xml:space="preserve">
proiect adăugat</t>
        </r>
      </text>
    </comment>
    <comment ref="A19" authorId="0">
      <text>
        <r>
          <rPr>
            <b/>
            <sz val="9"/>
            <rFont val="Tahoma"/>
            <family val="2"/>
          </rPr>
          <t>Cristina.Badescu:</t>
        </r>
        <r>
          <rPr>
            <sz val="9"/>
            <rFont val="Tahoma"/>
            <family val="2"/>
          </rPr>
          <t xml:space="preserve">
proiect adăugat</t>
        </r>
      </text>
    </comment>
    <comment ref="A20" authorId="1">
      <text>
        <r>
          <rPr>
            <b/>
            <sz val="9"/>
            <rFont val="Tahoma"/>
            <family val="2"/>
          </rPr>
          <t>Teodora.Zorica:</t>
        </r>
        <r>
          <rPr>
            <sz val="9"/>
            <rFont val="Tahoma"/>
            <family val="2"/>
          </rPr>
          <t xml:space="preserve">
proiect adaugat </t>
        </r>
      </text>
    </comment>
    <comment ref="A21" authorId="1">
      <text>
        <r>
          <rPr>
            <b/>
            <sz val="9"/>
            <rFont val="Tahoma"/>
            <family val="2"/>
          </rPr>
          <t>Teodora.Zorica:</t>
        </r>
        <r>
          <rPr>
            <sz val="9"/>
            <rFont val="Tahoma"/>
            <family val="2"/>
          </rPr>
          <t xml:space="preserve">
proiect adaugat </t>
        </r>
      </text>
    </comment>
    <comment ref="A22" authorId="1">
      <text>
        <r>
          <rPr>
            <b/>
            <sz val="9"/>
            <rFont val="Tahoma"/>
            <family val="2"/>
          </rPr>
          <t>Teodora.Zorica:</t>
        </r>
        <r>
          <rPr>
            <sz val="9"/>
            <rFont val="Tahoma"/>
            <family val="2"/>
          </rPr>
          <t xml:space="preserve">
proiect adaugat</t>
        </r>
      </text>
    </comment>
    <comment ref="A23" authorId="1">
      <text>
        <r>
          <rPr>
            <b/>
            <sz val="9"/>
            <rFont val="Tahoma"/>
            <family val="2"/>
          </rPr>
          <t>Teodora.Zorica:</t>
        </r>
        <r>
          <rPr>
            <sz val="9"/>
            <rFont val="Tahoma"/>
            <family val="2"/>
          </rPr>
          <t xml:space="preserve">
proiect adaugat </t>
        </r>
      </text>
    </comment>
    <comment ref="A24" authorId="1">
      <text>
        <r>
          <rPr>
            <b/>
            <sz val="9"/>
            <rFont val="Tahoma"/>
            <family val="2"/>
          </rPr>
          <t>Teodora.Zorica:</t>
        </r>
        <r>
          <rPr>
            <sz val="9"/>
            <rFont val="Tahoma"/>
            <family val="2"/>
          </rPr>
          <t xml:space="preserve">
proiect adaugat </t>
        </r>
      </text>
    </comment>
    <comment ref="A25" authorId="1">
      <text>
        <r>
          <rPr>
            <b/>
            <sz val="9"/>
            <rFont val="Tahoma"/>
            <family val="2"/>
          </rPr>
          <t>Teodora.Zorica:</t>
        </r>
        <r>
          <rPr>
            <sz val="9"/>
            <rFont val="Tahoma"/>
            <family val="2"/>
          </rPr>
          <t xml:space="preserve">
proiect adaugat </t>
        </r>
      </text>
    </comment>
    <comment ref="A26" authorId="1">
      <text>
        <r>
          <rPr>
            <b/>
            <sz val="9"/>
            <rFont val="Tahoma"/>
            <family val="2"/>
          </rPr>
          <t>Teodora.Zorica:</t>
        </r>
        <r>
          <rPr>
            <sz val="9"/>
            <rFont val="Tahoma"/>
            <family val="2"/>
          </rPr>
          <t xml:space="preserve">
proiect adaugat </t>
        </r>
      </text>
    </comment>
    <comment ref="A35" authorId="0">
      <text>
        <r>
          <rPr>
            <b/>
            <sz val="9"/>
            <rFont val="Tahoma"/>
            <family val="2"/>
          </rPr>
          <t>Cristina.Badescu:</t>
        </r>
        <r>
          <rPr>
            <sz val="9"/>
            <rFont val="Tahoma"/>
            <family val="2"/>
          </rPr>
          <t xml:space="preserve">
Titlu inițial: Achizitie 7 imprimante laser A3 colorAchizitie 7 imprimante laser A3 color</t>
        </r>
      </text>
    </comment>
    <comment ref="A36" authorId="0">
      <text>
        <r>
          <rPr>
            <b/>
            <sz val="9"/>
            <rFont val="Tahoma"/>
            <family val="2"/>
          </rPr>
          <t>Cristina.Badescu:</t>
        </r>
        <r>
          <rPr>
            <sz val="9"/>
            <rFont val="Tahoma"/>
            <family val="2"/>
          </rPr>
          <t xml:space="preserve">
Titlu inițial: Achizitie 10 bucati stick wireless mobile internet</t>
        </r>
      </text>
    </comment>
    <comment ref="A37" authorId="0">
      <text>
        <r>
          <rPr>
            <b/>
            <sz val="9"/>
            <rFont val="Tahoma"/>
            <family val="2"/>
          </rPr>
          <t>Cristina.Badescu:</t>
        </r>
        <r>
          <rPr>
            <sz val="9"/>
            <rFont val="Tahoma"/>
            <family val="2"/>
          </rPr>
          <t xml:space="preserve">
Titlu inițial: Achizitie 6 laptop-uri</t>
        </r>
      </text>
    </comment>
    <comment ref="A39" authorId="0">
      <text>
        <r>
          <rPr>
            <b/>
            <sz val="9"/>
            <rFont val="Tahoma"/>
            <family val="2"/>
          </rPr>
          <t>Cristina.Badescu:</t>
        </r>
        <r>
          <rPr>
            <sz val="9"/>
            <rFont val="Tahoma"/>
            <family val="2"/>
          </rPr>
          <t xml:space="preserve">
Titlu inițial: Achizitie 4 hard disk-uri externe</t>
        </r>
      </text>
    </comment>
    <comment ref="A40" authorId="0">
      <text>
        <r>
          <rPr>
            <b/>
            <sz val="9"/>
            <rFont val="Tahoma"/>
            <family val="2"/>
          </rPr>
          <t>Cristina.Badescu:</t>
        </r>
        <r>
          <rPr>
            <sz val="9"/>
            <rFont val="Tahoma"/>
            <family val="2"/>
          </rPr>
          <t xml:space="preserve">
Titlu inițial: Achiziție articole și furnituri de birou necesare pentru AM POS-T</t>
        </r>
      </text>
    </comment>
    <comment ref="A43" authorId="0">
      <text>
        <r>
          <rPr>
            <b/>
            <sz val="9"/>
            <rFont val="Tahoma"/>
            <family val="2"/>
          </rPr>
          <t>Cristina.Badescu:</t>
        </r>
        <r>
          <rPr>
            <sz val="9"/>
            <rFont val="Tahoma"/>
            <family val="2"/>
          </rPr>
          <t xml:space="preserve">
Titlu inițial: Organizarea reuniunilor CM POS-T pentru anul 2010</t>
        </r>
      </text>
    </comment>
    <comment ref="A44" authorId="0">
      <text>
        <r>
          <rPr>
            <b/>
            <sz val="9"/>
            <rFont val="Tahoma"/>
            <family val="2"/>
          </rPr>
          <t>Cristina.Badescu:</t>
        </r>
        <r>
          <rPr>
            <sz val="9"/>
            <rFont val="Tahoma"/>
            <family val="2"/>
          </rPr>
          <t xml:space="preserve">
proiect adăugat</t>
        </r>
      </text>
    </comment>
    <comment ref="A45" authorId="0">
      <text>
        <r>
          <rPr>
            <b/>
            <sz val="9"/>
            <rFont val="Tahoma"/>
            <family val="2"/>
          </rPr>
          <t>Cristina.Badescu:</t>
        </r>
        <r>
          <rPr>
            <sz val="9"/>
            <rFont val="Tahoma"/>
            <family val="2"/>
          </rPr>
          <t xml:space="preserve">
proiect adăugat</t>
        </r>
      </text>
    </comment>
    <comment ref="A46" authorId="0">
      <text>
        <r>
          <rPr>
            <b/>
            <sz val="9"/>
            <rFont val="Tahoma"/>
            <family val="2"/>
          </rPr>
          <t>Cristina.Badescu:</t>
        </r>
        <r>
          <rPr>
            <sz val="9"/>
            <rFont val="Tahoma"/>
            <family val="2"/>
          </rPr>
          <t xml:space="preserve">
proiect adăugat</t>
        </r>
      </text>
    </comment>
    <comment ref="A47" authorId="0">
      <text>
        <r>
          <rPr>
            <b/>
            <sz val="9"/>
            <rFont val="Tahoma"/>
            <family val="2"/>
          </rPr>
          <t>Cristina.Badescu:</t>
        </r>
        <r>
          <rPr>
            <sz val="9"/>
            <rFont val="Tahoma"/>
            <family val="2"/>
          </rPr>
          <t xml:space="preserve">
proiect adăugat</t>
        </r>
      </text>
    </comment>
    <comment ref="A49" authorId="1">
      <text>
        <r>
          <rPr>
            <b/>
            <sz val="9"/>
            <rFont val="Tahoma"/>
            <family val="2"/>
          </rPr>
          <t>Teodora.Zorica:</t>
        </r>
        <r>
          <rPr>
            <sz val="9"/>
            <rFont val="Tahoma"/>
            <family val="2"/>
          </rPr>
          <t xml:space="preserve">
proiect adaugat </t>
        </r>
      </text>
    </comment>
    <comment ref="A50" authorId="1">
      <text>
        <r>
          <rPr>
            <b/>
            <sz val="9"/>
            <rFont val="Tahoma"/>
            <family val="2"/>
          </rPr>
          <t>Teodora.Zorica:</t>
        </r>
        <r>
          <rPr>
            <sz val="9"/>
            <rFont val="Tahoma"/>
            <family val="2"/>
          </rPr>
          <t xml:space="preserve">
proiect adaugat </t>
        </r>
      </text>
    </comment>
    <comment ref="A51" authorId="1">
      <text>
        <r>
          <rPr>
            <b/>
            <sz val="9"/>
            <rFont val="Tahoma"/>
            <family val="2"/>
          </rPr>
          <t>Teodora.Zorica:</t>
        </r>
        <r>
          <rPr>
            <sz val="9"/>
            <rFont val="Tahoma"/>
            <family val="2"/>
          </rPr>
          <t xml:space="preserve">
proiect adaugat </t>
        </r>
      </text>
    </comment>
    <comment ref="B58" authorId="0">
      <text>
        <r>
          <rPr>
            <b/>
            <sz val="9"/>
            <rFont val="Tahoma"/>
            <family val="2"/>
          </rPr>
          <t>Cristina.Badescu:</t>
        </r>
        <r>
          <rPr>
            <sz val="9"/>
            <rFont val="Tahoma"/>
            <family val="2"/>
          </rPr>
          <t xml:space="preserve">
de la 85.000 E</t>
        </r>
      </text>
    </comment>
    <comment ref="B59" authorId="0">
      <text>
        <r>
          <rPr>
            <b/>
            <sz val="9"/>
            <rFont val="Tahoma"/>
            <family val="2"/>
          </rPr>
          <t>Cristina.Badescu:</t>
        </r>
        <r>
          <rPr>
            <sz val="9"/>
            <rFont val="Tahoma"/>
            <family val="2"/>
          </rPr>
          <t xml:space="preserve">
de la 10.000 E</t>
        </r>
      </text>
    </comment>
    <comment ref="B60" authorId="0">
      <text>
        <r>
          <rPr>
            <b/>
            <sz val="9"/>
            <rFont val="Tahoma"/>
            <family val="2"/>
          </rPr>
          <t>Cristina.Badescu:</t>
        </r>
        <r>
          <rPr>
            <sz val="9"/>
            <rFont val="Tahoma"/>
            <family val="2"/>
          </rPr>
          <t xml:space="preserve">
de la 2.730 E</t>
        </r>
      </text>
    </comment>
    <comment ref="A61" authorId="1">
      <text>
        <r>
          <rPr>
            <b/>
            <sz val="9"/>
            <rFont val="Tahoma"/>
            <family val="2"/>
          </rPr>
          <t>Teodora.Zorica:</t>
        </r>
        <r>
          <rPr>
            <sz val="9"/>
            <rFont val="Tahoma"/>
            <family val="2"/>
          </rPr>
          <t xml:space="preserve">
proiect adaugat </t>
        </r>
      </text>
    </comment>
    <comment ref="A62" authorId="1">
      <text>
        <r>
          <rPr>
            <b/>
            <sz val="9"/>
            <rFont val="Tahoma"/>
            <family val="2"/>
          </rPr>
          <t>Teodora.Zorica:</t>
        </r>
        <r>
          <rPr>
            <sz val="9"/>
            <rFont val="Tahoma"/>
            <family val="2"/>
          </rPr>
          <t xml:space="preserve">
proiect adaugat </t>
        </r>
      </text>
    </comment>
    <comment ref="A63" authorId="1">
      <text>
        <r>
          <rPr>
            <b/>
            <sz val="9"/>
            <rFont val="Tahoma"/>
            <family val="2"/>
          </rPr>
          <t>Teodora.Zorica:</t>
        </r>
        <r>
          <rPr>
            <sz val="9"/>
            <rFont val="Tahoma"/>
            <family val="2"/>
          </rPr>
          <t xml:space="preserve">
proiect adaugat </t>
        </r>
      </text>
    </comment>
    <comment ref="A64" authorId="1">
      <text>
        <r>
          <rPr>
            <b/>
            <sz val="9"/>
            <rFont val="Tahoma"/>
            <family val="2"/>
          </rPr>
          <t>Teodora.Zorica:</t>
        </r>
        <r>
          <rPr>
            <sz val="9"/>
            <rFont val="Tahoma"/>
            <family val="2"/>
          </rPr>
          <t xml:space="preserve">
proiect adaugat </t>
        </r>
      </text>
    </comment>
  </commentList>
</comments>
</file>

<file path=xl/sharedStrings.xml><?xml version="1.0" encoding="utf-8"?>
<sst xmlns="http://schemas.openxmlformats.org/spreadsheetml/2006/main" count="1915" uniqueCount="973">
  <si>
    <t>Obiectivul specific îl reprezintă furnizarea cunoştinţelor şi aptitudinilor adecvate pentru beneficiari în managementul proiectelor şi al contractelor de achiziţii publice în contextul Instrumentelor Structurale.</t>
  </si>
  <si>
    <t>Sprijin pentru Autoritatea de Audit pentru derularea de activităţi de formare</t>
  </si>
  <si>
    <t>Obiectivul general al proiectului îl constituie pregătirea şi perfecţionarea continuă a personalului Autorităţii de Audit implicat în auditarea instrumentelor structurale, în vederea dobândirii unor cunoştinţe aprofundate pentru îndeplinirea atribuţiilor ce decurg din punerea în aplicare a prevederilor regulamentelor comunitare şi a legislaţiei naţionale aferente.</t>
  </si>
  <si>
    <t>Identificarea nevoilor de dezvoltare socio-economică post 2013</t>
  </si>
  <si>
    <t>În funcţie de decizia politică de abordare a acestui subiect.</t>
  </si>
  <si>
    <t>Beneficiarul nu a transmis Caietul de sarcini. Proiectul a fost amânat la solicitarea conducerii AM POS T în perspectiva schimbării sediului AM POS T.</t>
  </si>
  <si>
    <t>Asistenta tehnica pentru sprijin institutional in cadrul activitatilor aferente verificarii cererilor de rambursare a Beneficiarilor POS Transport</t>
  </si>
  <si>
    <t>Asistență tehnică pentru evaluarea intermediară a POS T 2007 – 2013 pentru perioada 2007 - 2011</t>
  </si>
  <si>
    <t>Dezvoltarea abilitaților angajaților implicați in absorbția fondurilor europene aferente AM POST și beneficiarilor acestuia prin instruire</t>
  </si>
  <si>
    <t>Asistență tehnică pentru susținerea Autorității de Management pentru POS T în desfășurarea activității de monitorizare a implementării proiectelor POS T</t>
  </si>
  <si>
    <t>Acumularea cunoștințelor și competențelor necesare personalului implicat în managementul și implementarea POS T prin instruire, vizite de lucru și schimburi de experiență</t>
  </si>
  <si>
    <t>Servicii de consultanță în domeniul achizițiilor publice</t>
  </si>
  <si>
    <t>Servicii de consultanță în domeniul managementului de proiect</t>
  </si>
  <si>
    <t>Servicii de găzduire și întreținere web-site AM POS T</t>
  </si>
  <si>
    <t xml:space="preserve">Servicii de consultanță pentru audit de proiect </t>
  </si>
  <si>
    <t xml:space="preserve">Achiziție fax </t>
  </si>
  <si>
    <t xml:space="preserve">Achiziție calculatoare </t>
  </si>
  <si>
    <t>Achiziție obiecte promoționale personalizate POS T</t>
  </si>
  <si>
    <t>Conferință promovare POS T, Constanța 2011</t>
  </si>
  <si>
    <t xml:space="preserve">Asistenta tehnica pentru determinarea gradului de vizibilitate al POST si de conștientizare a publicului asupra POST </t>
  </si>
  <si>
    <t xml:space="preserve">Achiziție de echipamente de înregistrare / redare </t>
  </si>
  <si>
    <t>Beneficiarul  a transmis Caietul de sarcini. Documentatia de atribuire si  cererea de finantare sunt in curs de elaborare.</t>
  </si>
  <si>
    <t xml:space="preserve">A fost realizata Conferinta nationala AM POST in data de 19.12.2011. Procedura utilizata a fost achizitie directa. S-au inregistrat 3 facturi in cadrul acestui proiect : inchiere sala de conferinta, servicii de catering si materiale promotionale. Proiect in implementare, se fac platile pt cele 3 achizitii directe. </t>
  </si>
  <si>
    <t>Beneficiarul a transmis Caietul de sarcini în 22.09.2011. Documentația de achiziție și cererea de finanțare au fost elaborate, dar cererea de finanțare nu a fost depusă întrucât nu a fost aprobată fișa de buget. Achiziția se va lansa în 2012, după aprobarea cererii de finanțare</t>
  </si>
  <si>
    <t>Proiectul este în implementare, perioada contractului 26.11.2010 - 02.07.2011 (1E= 4,1084lei)</t>
  </si>
  <si>
    <t xml:space="preserve">Proiectul se va lansa in 2012. </t>
  </si>
  <si>
    <t>Se realizeaza proiecte care se refera la fiecare Comitet de Monitorizare separat, pentru fiecare an. Bugetul proiectului a fost estimat la 250.000</t>
  </si>
  <si>
    <t>Proiect finalizat, perioada de  implementare 9 iunie 2010-9 iunie 2011. Buget 897.500.</t>
  </si>
  <si>
    <t>S-a renuntat la proiect. Beneficiarul nu a solicitat acest sprijin întrucât se suprapune cu asistența tehnică solicitată în cadrul fiecărui proiect. Bugetul contractul a fost estimat la 2.000.000</t>
  </si>
  <si>
    <t xml:space="preserve">Contractul a fost semnat pe 12 septembrie 2011, cu o perioada de implementare a activitatiilor de 21 de luni, perioada contractului 23 de luni. </t>
  </si>
  <si>
    <t>Contractul a fost semnat in data de 30.08.2011. Proiectul s-a introdus in formular la "in implementare"</t>
  </si>
  <si>
    <t xml:space="preserve">Se renunta la proiect, activitatiile se vor realiza prin proiectul ”Dezvoltarea abilitaților angajaților implicați in absorbția fondurilor europene aferente AM POST și beneficiarilor acestuia prin instruire”. Procedura de atribuire a fost anulată. In data de 04.08.2011 a fost depusă cererea nr. 40/DPAT/TZ/04.08.2011 privind retragerea cererii de finanțare, cerere aprobată de către AM POST in data de 22.08.2011. Bugetul estimat al proiectului a fost de 450.000. </t>
  </si>
  <si>
    <t>Decizia de finantare a fost semnata in data de 07.07.2011. Contractul s-a semnat în data de 12.07.2011. Proiectul s-a introdus in formular la "in implementare"</t>
  </si>
  <si>
    <t>Asistenta tehnica pentru sprijinul AM pentru POS-T în desfășurarea activității de evaluare si selecție a aplicațiilor POS-T</t>
  </si>
  <si>
    <t>Sprijin instituțional pentru elaborarea și implementarea Master Planului General de Transport</t>
  </si>
  <si>
    <t>Instruirea personalului din sectorul transporturi - AMPOS T și beneficiarii POST  pentru managementul si implementarea POS-T 2007-2013</t>
  </si>
  <si>
    <t>Cursuri de Project Manager si Microsoft Access pentru personalul AM POS-T</t>
  </si>
  <si>
    <t>Beneficiarul nu a transmis Caietul de sarcini</t>
  </si>
  <si>
    <t>Servicii de consultanță pentru management de program</t>
  </si>
  <si>
    <t>Achizitie imprimante</t>
  </si>
  <si>
    <r>
      <t xml:space="preserve">Proiectul a fost lansat in mai 2011. O singura oferta a fost primita, oferta care nu a indeplinit criteriile de calificare.  Procedura de atribuire a fost anulată în SEAP în data de 03.08.2011. Proiectul va fi </t>
    </r>
    <r>
      <rPr>
        <sz val="10"/>
        <color indexed="10"/>
        <rFont val="Arial"/>
        <family val="2"/>
      </rPr>
      <t>relansat in 2012</t>
    </r>
    <r>
      <rPr>
        <sz val="10"/>
        <color indexed="17"/>
        <rFont val="Arial"/>
        <family val="2"/>
      </rPr>
      <t xml:space="preserve">. Buget modificat de la 548.900 la 600.000. </t>
    </r>
    <r>
      <rPr>
        <sz val="10"/>
        <color indexed="10"/>
        <rFont val="Arial"/>
        <family val="2"/>
      </rPr>
      <t xml:space="preserve">Nu a fost inregistrata nicio evolutie in perioada sept-dec 2011. </t>
    </r>
  </si>
  <si>
    <r>
      <t xml:space="preserve">Licitatia pentru proiect (Jaspers) a fost lansata, estimandu-se începerea implementării în luna octombrie 2011, iar finalizarea, in august 2013. Buget modificat de la 2.700.000 la 3.500.000. </t>
    </r>
    <r>
      <rPr>
        <sz val="10"/>
        <color indexed="10"/>
        <rFont val="Arial"/>
        <family val="2"/>
      </rPr>
      <t xml:space="preserve">In urma primei evaluari s-a depus o contestatie. Conform deciziei CNSC a fost realizata o a doua evaluare. Proiectul a fost atribuit si contractul este in curs de avizare. In urma misiunii de control a primului ministru, viza juridica va fi acordata de catre Directia Juridică. </t>
    </r>
  </si>
  <si>
    <r>
      <t xml:space="preserve">A fost elaborată o documentație de atribuire pentru lansarea unui acord cadru.  Caietul de sarcini si cerințele de calificare au fost transmise spre analiza beneficiarilor. A fost elaborata fila de buget a proiectului. </t>
    </r>
    <r>
      <rPr>
        <sz val="10"/>
        <color indexed="10"/>
        <rFont val="Arial"/>
        <family val="2"/>
      </rPr>
      <t xml:space="preserve">Cererea de finanțare  a fost depusă în data de 24.10.2011. Procedura de achiziție urmeaza sa fie lansată in 2012, după aprobarea cererii de finanțare. </t>
    </r>
  </si>
  <si>
    <r>
      <t xml:space="preserve">Beneficiarul nu a transmis Caietul de sarcini. </t>
    </r>
    <r>
      <rPr>
        <sz val="10"/>
        <color indexed="10"/>
        <rFont val="Arial"/>
        <family val="2"/>
      </rPr>
      <t>Nu s-a inregistrat nicio evolutie in perioada sep - dec 2011.</t>
    </r>
  </si>
  <si>
    <t>Implementarea nevoilor imediate de dezvoltare şi mentenanţă pentru SMIS-CSNR</t>
  </si>
  <si>
    <t>SMIS CSNR 2014-2020</t>
  </si>
  <si>
    <t>MYSMIS</t>
  </si>
  <si>
    <t>Mentenanţă MYSMIS</t>
  </si>
  <si>
    <t>Studiu privind identificarea unei soluţii informatice care să permită evitarea dublei finanţări a unui proiect, din instrumente structurale şi din alte surse publice</t>
  </si>
  <si>
    <t>Implementare soluţie informatică pentru evitarea dublei-finanţări</t>
  </si>
  <si>
    <t>Implementarea unei contabilităţi centralizate pentru toate instituţiile responsabile de gestionarea financiară a instrumentelor structurale</t>
  </si>
  <si>
    <t>Sprijinirea Direcţiei Coordonare de Sistem şi a reţelei de coordonatori în gestionarea SMIS-CSNR 2011-2013</t>
  </si>
  <si>
    <t>Revizuirea sistemului de evaluare, instruire, conferinţă.</t>
  </si>
  <si>
    <t>5 studii de evaluare (Evaluarea formativă a CSNR, evaluarea intermediară a POAT, evaluarea capacităţii beneficiarilor, evaluarea infrastructurii, raport sinteză).</t>
  </si>
  <si>
    <t>Selectarea conferinţelor relevante în domeniul evaluării, acoperirea costurilor participării membrilor unităţilor de evaluare din AM şi ACIS, diseminarea cunoştinţelor dobândite.</t>
  </si>
  <si>
    <t>Organizarea GLE, instruire, conferinţe, asistenţă tehnică pentru proiectele UCE, ACB, indicatori</t>
  </si>
  <si>
    <t xml:space="preserve">În cadrul acestui proiect, până la data de 31.01.2012, cheltuielile autorizate sunt de 818.640 euro (27%):
- primul contract de consultanta s-a finalizat în luna iulie 2010, cheltuielile autorizate fiind în valoare de 596.250 euro;
- în data de 6 iunie 2011 a fost semnat al doilea contract de consultanta in valoare eligibila 981.250 euro, cu data de finalizare 30.11.2012;                                                                                                                                                                                   - în data de 27.01.2012 a fost semnat contractul de achiziţie de echipamente IT in valoare eligibila de 1.185.000 euro </t>
  </si>
  <si>
    <t>Lansare preconizata pentru luna iulie 2012.</t>
  </si>
  <si>
    <t>Beneficiarul estimeaza lansarea: contract achizitii echipamente IT in luna fenruarie 2012, contractului de consultanţă şi expertiză in luna martie 2012, contractului de asistenţă pentru elaborarea documentaţiei de achiziţii aferente aplicaţiei informatice care să permită monitorizarea constatărilor rezultate în urma misiunilor de audit in luna martie 2012, contractului pentru dezvoltarea şi implementarea aplicaţiei informatice pentru luna iunie 2012.</t>
  </si>
  <si>
    <t xml:space="preserve">Contractul de achizitie aferent, semnat în data de 23.06.2010, a fost finalizat şi s-a efectuat plata finală. </t>
  </si>
  <si>
    <t>Dezvoltarea flexibilă a SMIS-CSNR; Asigurarea mentenantei SMIS-CSNR</t>
  </si>
  <si>
    <t xml:space="preserve">Beneficiarul estimeaza lansarea licitatiei contractului "Asigurarea funcţionării SMIS – CSNR în parametri optimi" care are 3 componente (DMI 2.1., DMI 2.2 si DMI 2.3), pentru luna februarie 2012 . Una din cele 3 componente vizeaza dezvoltarea SMIS. </t>
  </si>
  <si>
    <t xml:space="preserve">Contractul de achizitie a fost semnat în luna iulie 2011 si este in implementare. Decizia de finanţare a fost semnată în 06.07.2011 şi a fost făcută prima rambursare pe proiect. </t>
  </si>
  <si>
    <t xml:space="preserve">Contractul de achizitie s-a semnat în 09.03.2011 si este in implementare. </t>
  </si>
  <si>
    <t>Beneficiarul preconizeaza lansarea licitatiei in februarie 2012.</t>
  </si>
  <si>
    <t>Asistenta tehnica pentru AMPOSDRU şi cele 11 OI POSDRU pentru realizarea funcţiei de arhivare a documentelor - Achiziţia de servicii şi instrumente pentru arhivarea dosarelor proiectelor din cadrul POSDRU</t>
  </si>
  <si>
    <r>
      <t xml:space="preserve">Sprijin pentru dezvoltarea unei platforme comune de lucru pentru OIPOSDRU si AMPOSDRU </t>
    </r>
    <r>
      <rPr>
        <sz val="10"/>
        <rFont val="Arial"/>
        <family val="2"/>
      </rPr>
      <t>(Technostructura - platforma comuna de lucru pentru OIPOSDRU)</t>
    </r>
  </si>
  <si>
    <t>Beneficiarul a transmis Caietul de sarcini în data de 05.12.2011. Se lucrează la elaborarea documentației de atribuire și a cererii de finanțare. Achiziția se va lansa în 2012, după aprobarea fișei de buget.</t>
  </si>
  <si>
    <t>Se lucrează la documentația de atribuire. Proiectul va fi eligibil după aprobarea modificării ordinului de eligibilitate. Nu s-a inregistrat nicio evolutie in perioada sep - dec 2011.</t>
  </si>
  <si>
    <t>Beneficiarul nu a transmis Caietul de sarcini.  Nu s-a inregistrat nicio evolutie in perioada sep - dec 2011.</t>
  </si>
  <si>
    <t>Beneficiarul nu a transmis Caietul de sarcini. Nu s-a inregistrat nicio evolutie in perioada sep - dec 2011.</t>
  </si>
  <si>
    <t>ADR Nord Est</t>
  </si>
  <si>
    <t>implementarea şi monitorizarea cu profesionalism şi eficienţă a proiectelor finanţate din  POR 2007 - 2013</t>
  </si>
  <si>
    <t>3 040 000</t>
  </si>
  <si>
    <t>3 144 000</t>
  </si>
  <si>
    <t>1. Sprijin pentru implementarea activităţilor de informare şi publicitate din Planul de Comunicare pentru Programul Operaţional Regional 2007-2013 la nivelul Regiunii Sud Muntenia</t>
  </si>
  <si>
    <t>2. Sprijin pentru implementarea activităţilor de informare şi publicitate din Planul de Comunicare pentru Programul Operaţional Regional 2007-2013 la nivelul Regiunii Sud Muntenia</t>
  </si>
  <si>
    <t>292 000</t>
  </si>
  <si>
    <t>3. Sprijin pentru implementarea activităţilor de informare şi publicitate din Planul de Comunicare pentru Programul Operaţional Regional 2007-2013 la nivelul Regiunii Sud Muntenia</t>
  </si>
  <si>
    <t>160 000</t>
  </si>
  <si>
    <t>8 497 000</t>
  </si>
  <si>
    <t>ADR Sud Muntenia</t>
  </si>
  <si>
    <t>1 ˝Sprijin pentru implementarea Programului Operational Regional in Regiunea Bucuresti - Ilfov˝ 2011-2012</t>
  </si>
  <si>
    <t>ADR BI</t>
  </si>
  <si>
    <t>3 ˝Sprijin pentru implementarea Programului Operational Regional in Regiunea Bucuresti - Ilfov˝ 2015</t>
  </si>
  <si>
    <t>a) Asigurarea de consultanţă pentru ACP cu privire la factorii determinanţi în certificarea cheltuielilor, dezvoltarea capacităţii personalului de a elabora rapoarte calitative, acordarea suportului necesar pentru îndeplinirea rolului şi responsabilităţilor diferitelor instituţii implicate în gestionarea instrumentelor structurale şi actualizarea manualelor de proceduri;
b) asigurarea sprijinului de specialitate necesar consolidării capacităţii de gestionare şi control a ACP, în vederea asigurării unui sistem eficient şi eficace la nivelul ACP (prin consultanță ”on the desk” și ”on the spot” în domeniul achizițiilor publice, audit, juridic și tehnic);</t>
  </si>
  <si>
    <t xml:space="preserve">Formare pentru sistemul de gestionare a IS în diverse subiecte vizând implementarea programelor operaţionale, comunicarea în domeniul IS şi în pregătirea viitoarei perioade de programare.                                                                                                                                                                                                                </t>
  </si>
  <si>
    <t>Obiectivul specific îl reprezintă furnizarea cunoştinţelor şi aptitudinilor adecvate pentru beneficiari în managementul proiectelor în contextul Instrumentelor Structurale.</t>
  </si>
  <si>
    <t>Asigurarea mentenanţei MySMIS.</t>
  </si>
  <si>
    <t>Studiu privind identificarea unei soluţii informatice care să permită evitarea dublei finanţări a unui proiect, din instrumente structurale şi din alte surse publice.</t>
  </si>
  <si>
    <t>Implementare soluţie informatică pentru evitarea dublei-finanţări.</t>
  </si>
  <si>
    <t>Asigurarea promovării eficiente a PO DCA</t>
  </si>
  <si>
    <t/>
  </si>
  <si>
    <t>Organizarea reuniunilor CM PO DCA</t>
  </si>
  <si>
    <t>Sprijin pentru asigurarea proceselor de informare şi publicitate pentru PO DCA</t>
  </si>
  <si>
    <t>Activităţi de promovare adresate inclusiv sectoarelor prioritare ale PO DCA</t>
  </si>
  <si>
    <t>Evaluarea intermediară a PO DCA pentru perioada 1 ianuarie 2007 - 30 iunie 2009</t>
  </si>
  <si>
    <t>Susţinerea implementării PO DCA</t>
  </si>
  <si>
    <t>Asigurarea perfecţionării personalului AM PO DCA prin participarea la conferinţe, seminarii, cursuri şi reţele tematice</t>
  </si>
  <si>
    <t>Asigurarea serviciilor de evaluare a proiectelor pentru AM PO DCA</t>
  </si>
  <si>
    <t>Sprijinirea funcţionării AM PO DCA prin dotarea cu materiale de comunicaţii şi IT</t>
  </si>
  <si>
    <t xml:space="preserve">Sprijinirea activităţii Comitetului de Monitorizare a PO DCA </t>
  </si>
  <si>
    <t>Sprijinirea procesului de evaluare şi selecţie a proiectelor depuse spre finanţare la PO DCA</t>
  </si>
  <si>
    <t>Asigurarea unui proces transparent de evaluare şi selecţie a solicitărilor de finanţare din PO DCA</t>
  </si>
  <si>
    <t>Programul Operaţional Dezvoltarea Capacităţii Administrative</t>
  </si>
  <si>
    <t>Realizarea de studii pentru evaluarea POR:</t>
  </si>
  <si>
    <t xml:space="preserve">Vizite de lucru în regiuni ale personalului unităţii de evaluare </t>
  </si>
  <si>
    <t>Participare la seminarii si instruiri/conferinţe/vizite</t>
  </si>
  <si>
    <t xml:space="preserve">studiu/întâlniri de lucru/ schimb experienţă </t>
  </si>
  <si>
    <t>Achiziţia de consumabile, rechizite, articole de biroticăşi obiecte de inventar</t>
  </si>
  <si>
    <t xml:space="preserve">Servicii organizare evenimente </t>
  </si>
  <si>
    <t xml:space="preserve">Servicii de traducere şi interpretariat </t>
  </si>
  <si>
    <t>Achiziţie de mijloace fixe, articole de birotică, obiecte de inventar, consumabile</t>
  </si>
  <si>
    <t xml:space="preserve">Achiziţie programe informatice </t>
  </si>
  <si>
    <t>Achiziţii de servicii buclă locală</t>
  </si>
  <si>
    <t xml:space="preserve">Achiziţii de servicii acces internet </t>
  </si>
  <si>
    <t xml:space="preserve">Realizarea de studii pentru următoarea perioadă de programare </t>
  </si>
  <si>
    <t xml:space="preserve">Cheltuieli cu expertiză tehnică, financiară, contabilă şi juridică </t>
  </si>
  <si>
    <t xml:space="preserve">Achiziţii de echipamente periferice de calcul, aparatură </t>
  </si>
  <si>
    <t>Achiziţii programe informatice</t>
  </si>
  <si>
    <t>Achiziţii servicii telefon, fax, servicii poştale, curierat rapid şi internet</t>
  </si>
  <si>
    <t>Achiziţii servicii arhivare</t>
  </si>
  <si>
    <t>Achiziţia de echipamente, inclusiv tonere</t>
  </si>
  <si>
    <t xml:space="preserve">Achiziţia de Hartie si alte consumabile </t>
  </si>
  <si>
    <t>Cheltuieli cu servicii de telefonie, fax, servicii poştale, curierat rapid şi internet</t>
  </si>
  <si>
    <t xml:space="preserve">Campania are la bază conceptul "ÎMPREUNĂ PENTRU O ŢARĂ CU ADEVĂRAT EUROPEANĂ" şi va cuprinde trei etape:
• ETAPA I: Campanie de informare publică integrată pentru promovarea finanţărilor din Instrumente Structurale;
• ETAPA a-II-a: Campanie regională de seminarii pentru susţinerea beneficiarilor de finanţări din Instrumente Structurale
• ETAPA a-III-a: Campanie de comunicare privind proiectele realizate în cadrul Instrumentelor Structurale </t>
  </si>
  <si>
    <t xml:space="preserve">Lansarea licitatiei pentru contractul de achizitie pentru etapa I a fost lansat in luna decembrie 2011. Lansarea achizitiilor pentru etapa II a este planificata pentru luna februarie, iar pentru etapa II pentru luna martie 2012. </t>
  </si>
  <si>
    <t>Producerea de materiale pentru promovarea Fondurilor Structurale şi de Coeziune 2007-2013 în România</t>
  </si>
  <si>
    <t>Lansare planificata pentru martie 2012</t>
  </si>
  <si>
    <t>Organizare eveniment de 9 mai 2012</t>
  </si>
  <si>
    <t>Lansare planificata pentru februarie 2012</t>
  </si>
  <si>
    <t xml:space="preserve">Campanie regionala de constientizare în vederea prevenirii situaţiilor de fraudă, incopatibilitate, conflicte de interese şi nereguli în randul beneficiarilor de instrumente structurale </t>
  </si>
  <si>
    <t xml:space="preserve">Se va realiza cu sprijinul Centrului de Informare (valoarea in PL anterior era de 100.000 euro). </t>
  </si>
  <si>
    <t>Proiect in pregatire, lansare estimata in septembrie 2012</t>
  </si>
  <si>
    <t>Contract de achizitie publica semnat in 27.12.2011</t>
  </si>
  <si>
    <t>Proiecte vizând diseminarea de informaţii despre IS la nivel regional. Aplicanţii vor fi centre şi puncte de informare existente de tip administraţii publice sau ONG.</t>
  </si>
  <si>
    <t>Crearea şi dezvoltarea Centrului de Informare privind Instrumentele Structurale</t>
  </si>
  <si>
    <t>OI Turism</t>
  </si>
  <si>
    <t>POS Mediu</t>
  </si>
  <si>
    <t>POS CCE</t>
  </si>
  <si>
    <t>POS DRU</t>
  </si>
  <si>
    <t>PO DCA</t>
  </si>
  <si>
    <t>POS T</t>
  </si>
  <si>
    <t>POAT</t>
  </si>
  <si>
    <t>POR - numai AM 2011-2012</t>
  </si>
  <si>
    <t>Formular 1</t>
  </si>
  <si>
    <t>Formular 2</t>
  </si>
  <si>
    <t>Formular 3</t>
  </si>
  <si>
    <t>Formular 5</t>
  </si>
  <si>
    <t>Formular 6</t>
  </si>
  <si>
    <t xml:space="preserve">Cheltuieli cu vizite de monitorizare a contractelor de Asistenta Tehnica şi vizite de verificare a atributiilor delegate </t>
  </si>
  <si>
    <t>Participări cursuri, seminarii, conferinţe, etc</t>
  </si>
  <si>
    <t>Achizitie echipamente( UPS, Laptop, Calculatoare, Mobilier)</t>
  </si>
  <si>
    <t xml:space="preserve">Achiziţie de consumabile de birou </t>
  </si>
  <si>
    <t xml:space="preserve">Cheltuieli cu asigurarea serviciilor de instruire </t>
  </si>
  <si>
    <t xml:space="preserve">Obiectivul proiectului constă în sprijinirea funcţionării Autorităţii de Audit prin furnizarea de asistenţă tehnică şi logistică necesară, pentru acoperirea cheltuielilor de funcţionare, organizarea de întâlniri şi evenimente, asigurarea materialelor consumabile, echipamentelor etc. </t>
  </si>
  <si>
    <t>Proiectul reprezintă continuarea asigurării sprijinului pentru ACIS, inclusiv AM POAT, prin consultanţă şi acoperirea cheltuielilor de funcţionare.</t>
  </si>
  <si>
    <t>Proiectul reprezintă continuarea asigurării sprijinului pentru AA prin consultanţă şi acoperirea cheltuielilor de funcţionare.</t>
  </si>
  <si>
    <t>Realizarea de evaluări pentru perioada 2009-2010</t>
  </si>
  <si>
    <t>Servicii de consultanta privind indeplinirea recomandarilor CE de infiintare a unei ”Grupari Europene de Cooperare Transfrontaliera” pentru viitorul proiect de lucrari pe sectorul comun al Dunarii</t>
  </si>
  <si>
    <t>Asistenta tehnica pentru elaborarea unui Master Plan General de Transport</t>
  </si>
  <si>
    <t xml:space="preserve">Achizitie Consola Antivirus, client antivirus si servicii de tip suport Premier Suport pentru asigurarea managementului centralizat al intregii infrastructuri IT a AM POS-T </t>
  </si>
  <si>
    <t>Asistenta tehnica pentru elaborarea, cuantificarea si organizarea urmaririi indicatorilor POS transport 2007-2013</t>
  </si>
  <si>
    <t>Asistenta tehnica pentru sprijin institutional pentru CNADNR</t>
  </si>
  <si>
    <t>Asistenta tehnica pentru elaborarea POST 2014-2020</t>
  </si>
  <si>
    <t>Organizarea Conferintei nationale POST 2011</t>
  </si>
  <si>
    <t>Servicii de relatii publice pentru organizarea de evenimente pentru promovarea POS-T</t>
  </si>
  <si>
    <t>Programului Operaţional Sectorial Transport</t>
  </si>
  <si>
    <t>Organizarea reuniunilor CM POS-T pentru anii 2011-2015</t>
  </si>
  <si>
    <t>Service hardware calculatoare/ echipamente SMIS pentru AM POS-T/ Beneficiari POS-T</t>
  </si>
  <si>
    <t>Aplicatii contabile pentru AM POS-T</t>
  </si>
  <si>
    <t>Achiziţionarea de publicaţii, cărţi şi reviste de specialitate</t>
  </si>
  <si>
    <t>x</t>
  </si>
  <si>
    <t>Facilitatea de Asistenţă Tehnică</t>
  </si>
  <si>
    <t>TOTAL</t>
  </si>
  <si>
    <t>Sprijin direct pentru implementare PO</t>
  </si>
  <si>
    <t>Sprijin indirect pentru implementare PO</t>
  </si>
  <si>
    <t>Promovare şi publicitate</t>
  </si>
  <si>
    <t xml:space="preserve">Total </t>
  </si>
  <si>
    <t>Titlul proiectului</t>
  </si>
  <si>
    <t>Suma estimată (euro)</t>
  </si>
  <si>
    <t>sem 2</t>
  </si>
  <si>
    <t>sem 1</t>
  </si>
  <si>
    <t>Asistenţă Juridică pentru AM POS Mediu</t>
  </si>
  <si>
    <t xml:space="preserve">Asistenţă tehnică pentru întărirea capacităţii insituţionale a AM şi OI în procesul de monitorizare a cadrului instituţional necesar implementării strategiei de regionalizare în sectoarele de apă şi deşeuri </t>
  </si>
  <si>
    <t>Asistenţă tehnico-economică pentru direcţiile şi birourile de implementare din cadrul AM şi OI POS Mediu a proiectelor finanţate din asistenţa financiară nerambursabilă</t>
  </si>
  <si>
    <t>Sprijin pentru AM în evaluarea procesului de achiziţii aferente proiectelor POS Mediu</t>
  </si>
  <si>
    <t xml:space="preserve">Sistemul de e-learning - up-date cu noi module de instruire pentru AM şi  OI POS Mediu </t>
  </si>
  <si>
    <t>Evaluarea intermediară a POS Mediu</t>
  </si>
  <si>
    <t>Achiziţie aplicaţii IT pentru asigurarea funcţionalităţii resurselor informatice ale AM şi OI POS Mediu</t>
  </si>
  <si>
    <t xml:space="preserve">Elaborarea strategiilor de integrare pentru zonele de sărăcie şi comunităţile defavorizate (inclusiv comunitatea de romi) </t>
  </si>
  <si>
    <t>Sprijinirea municipalităţilor în conceperea strategiilor de investiţii şi pregătirea portofoliului de proiecte, în special în domeniul transportul urban (analiză funcţională)</t>
  </si>
  <si>
    <t>Cheltuieli cu vizite de monitorizare a contractelor din cadrul axelor prioritare 1-5</t>
  </si>
  <si>
    <t>caiet de sarcini intocmit martie</t>
  </si>
  <si>
    <t>deschidere oferte 1 februarie</t>
  </si>
  <si>
    <t>doc atrib in curs de avizare</t>
  </si>
  <si>
    <t>caiet de sarcini in pregatire, publicare SEAP aprilie</t>
  </si>
  <si>
    <t>caiet de sarcini in curs de pregatire</t>
  </si>
  <si>
    <t>documentatie de atribuire in curs de pregatire</t>
  </si>
  <si>
    <t>procedura relansata, deschidere oferte 20 februarie</t>
  </si>
  <si>
    <t>caiet de sarcini intocmit, publicare SEAP in martie</t>
  </si>
  <si>
    <t>Master-planuri de mobilitate pentru polii de crestere</t>
  </si>
  <si>
    <t>documentatie de atribuire in asteptare pentru validare pe SEAP</t>
  </si>
  <si>
    <t>Proiectul a fost finalizat și s-a efectuat plata finală.</t>
  </si>
  <si>
    <t>Valoare (RON)</t>
  </si>
  <si>
    <t>Valoare (EUR)</t>
  </si>
  <si>
    <t>Achizitie stick wireless mobile internet</t>
  </si>
  <si>
    <t>Achizitie laptop-uri</t>
  </si>
  <si>
    <t xml:space="preserve">Achizitie hard disk-uri externe </t>
  </si>
  <si>
    <t>Achiziție articole și furnituri de birou</t>
  </si>
  <si>
    <t xml:space="preserve">Organizarea reuniunilor CM POS-T pentru anul 2011 </t>
  </si>
  <si>
    <t>Achiziție consumabile birotică (tonere) pentru uzul AM POS-T</t>
  </si>
  <si>
    <t>Sistem de arhivare pentru documentele din cadrul AM POS-T</t>
  </si>
  <si>
    <t>Achiziție cărți de vizită pentru personalul AM și SAPI</t>
  </si>
  <si>
    <t>Organizare evenimente AM POS T</t>
  </si>
  <si>
    <t>Traducerea documentelor RO - EN, EN - RO pentru AM POS T</t>
  </si>
  <si>
    <t>calendar care a rămas valabil</t>
  </si>
  <si>
    <t>modificări de calendar</t>
  </si>
  <si>
    <t>impreună culorile formează calendarul actual</t>
  </si>
  <si>
    <t>proiectul se elimină și valoarea sa nu a fost adunată la sumele cuprinse în situație</t>
  </si>
  <si>
    <t xml:space="preserve">Asistenta juridica pentru beneficiarii POST - 2 loturi </t>
  </si>
  <si>
    <t>Asistenta tehnica pentru sprijin institutional pentru CNCF CFR SA</t>
  </si>
  <si>
    <t>Caietul de sarcini este în analiză. DPAT și DMF trebuie să agreeze Caietul de sarcini.</t>
  </si>
  <si>
    <t>Asigurarea cheltuielilor cu reparaţiile şi întreţinerea mijloacelor de transport aflate în dotarea celor 8 OI POS Mediu</t>
  </si>
  <si>
    <t>Asigurarea cheltuielilor cu utilităţile pentru AM şi OI POS Mediu</t>
  </si>
  <si>
    <t>Plata serviciilor de comunicaţii prestate de Serviciul Telecomunicaţii Speciale</t>
  </si>
  <si>
    <t xml:space="preserve">Misiuni de consolidare a sistemului de management al AM şi OI-urilor în vederea implementării POS Mediu  </t>
  </si>
  <si>
    <t xml:space="preserve">Sprijinirea procesului de schimb de informaţii/experienţă între România şi statele membre în contextul implementării POS Mediu </t>
  </si>
  <si>
    <t>Achiziţionarea de materiale promoţionale pentru POS Mediu</t>
  </si>
  <si>
    <t>Evaluarea Planului de Comunicare al POS Mediu</t>
  </si>
  <si>
    <t>Organizare evenimente cu privire la implementarea POS Mediu</t>
  </si>
  <si>
    <t>Achiziţionarea serviciilor de monitorizare mass-media</t>
  </si>
  <si>
    <t>Evaluarea finală a POS Mediu</t>
  </si>
  <si>
    <t>Organizarea de evenimente de promovare a POS Mediu</t>
  </si>
  <si>
    <t>Realizarea unor filme de prezentare a proiectelor  de succes implementate în cele 8 Regiuni de Dezvoltare ale României</t>
  </si>
  <si>
    <t>Sprijinirea Ministerului Mediului şi Pădurilor în promovarea POS Mediu, prin intermediul unei campanii publicitare</t>
  </si>
  <si>
    <t>Asigurarea promovării POS Mediu 2014-2020 prin organizarea de evenimente specifice</t>
  </si>
  <si>
    <r>
      <t xml:space="preserve">Proiectul a fost lansat în catalogul electronic în data de 01.07.2011. În data de 07.07.2011 a fost acceptată oferta câștigătoare în SEAP și a fost elaborat raportul procedurii, care a fost înaintat conducătorului autorității contractante spre aprobare. La data de 11.07.2011 s-a transmis câștigătorului adresa privind transmiterea documentele din documentația de atribuire. În data de 21.07.2011 a fost elaborat draft-ul de contract, iar angajamentul de cheltuieli în data de 25.07.2011. Au fost obținute vizele juridică și CFP. 
În data de 29.07.2011 AM POST a transmis Nota de respingere a cererii de finanțare pe motiv că proiectul se suprapune cu un alt proiect. În data de 08.08.2011 DPAT a solicitat AM POS T revenirea asupra deciziei de respingere a cererii de finanțare. 
</t>
    </r>
    <r>
      <rPr>
        <sz val="10"/>
        <color indexed="17"/>
        <rFont val="Arial"/>
        <family val="2"/>
      </rPr>
      <t xml:space="preserve">În data de 16.08.2011 a fost solicitat punctul de vedere al ANRMAP privind anularea achiziției. </t>
    </r>
    <r>
      <rPr>
        <sz val="10"/>
        <color indexed="10"/>
        <rFont val="Arial"/>
        <family val="2"/>
      </rPr>
      <t xml:space="preserve">Proiectul a fost anulat si nu se reia. </t>
    </r>
  </si>
  <si>
    <t>Obiectivul acestui contract îl reprezintă instruirea în principal a personalului Autorităţii de Certificare şi Plată (ACP), dar și altor structuri din cadrul Ministerului Finanţelor Publice implicate în gestionarea și implementarea instrumentelor structurale, în vederea pregătirii unui personal înalt calificat, capabil să implementeze în mod eficient și eficace instrumentele structurale, prin dobândirea și dezvoltarea de noi competenţe şi abilităţi.</t>
  </si>
  <si>
    <t>Autoritatea de Audit</t>
  </si>
  <si>
    <t>DMI 1.4. Funcţionarea Autorităţii de Management pentru POAT, a ACIS, a Autorităţii de Certificare şi Plată şi a Autorităţii de Audit</t>
  </si>
  <si>
    <t>a) Asigurarea de consultanţă pentru ACP cu privire la factorii determinanţi în certificarea cheltuielilor, dezvoltarea capacităţii personalului de a elabora rapoarte calitative, acordarea suportului necesar pentru îndeplinirea rolului şi responsabilităţilor diferitelor instituţii implicate în gestionarea instrumentelor structurale şi actualizarea manualelor de proceduri;
b) Asigurarea funcţionării ACP la standarde europene;</t>
  </si>
  <si>
    <t>Axa prioritară 2: Dezvoltarea în continuare şi sprijin pentru funcţionarea Sistemului Unic de Management al Informaţiei</t>
  </si>
  <si>
    <t>DMI 2.1. Dezvoltarea şi mentenanţa SMIS şi a reţelei sale digitale</t>
  </si>
  <si>
    <t>Dezvoltarea în continuare şi asigurarea funcţionării corespunzătoare a SMIS-CSNR 2012-2015</t>
  </si>
  <si>
    <t>DMI 2.2. Funcţionarea Unităţii Centrale SMIS şi a reţelei de coordonare</t>
  </si>
  <si>
    <t>Sprijin pentru actualizarea informaţiilor în SMIS-CSNR</t>
  </si>
  <si>
    <t>Implementarea acordurilor încheiate cu toate instituţiile care vor primi sprijin pentru introducerea datelor în SMIS-CSNR</t>
  </si>
  <si>
    <t>Menţinerea informaţiilor actualizate în SMIS-CSNR.</t>
  </si>
  <si>
    <t>Help-Desk SMIS-CSNR 2012-2015</t>
  </si>
  <si>
    <t>DMI 2.3. Formarea utilizatorilor, distribuirea ghidurilor de proceduri şi a manualelor de utilizator, precum şi activităţi de informare privind SMIS</t>
  </si>
  <si>
    <t>DMI 2.4. Achiziţia de echipamente şi servicii TI&amp;C</t>
  </si>
  <si>
    <t>Modernizare IT ACIS - modulul 2</t>
  </si>
  <si>
    <t>Achiziţionarea de echipamente</t>
  </si>
  <si>
    <t>Modernizare IT ACIS - modulul 2 2013</t>
  </si>
  <si>
    <t>Asigurarea de echipamente pentru utilizarea SMIS  - in implementare</t>
  </si>
  <si>
    <t>OI-uri</t>
  </si>
  <si>
    <t>Asigurarea de echipamente pentru utilizarea SMIS - planificate</t>
  </si>
  <si>
    <t>Asigurarea de echipamente pentru utilizarea SMIS pentru ADR NV, ADR NE, OI POS DRU Vest, AM POS CCE, OI Educatie, OI IMM. Din cele 29 instituţii eligibile, nu s-a primit încă răspuns privind intenţia de a depune proiect pe acest DMI de la 7 instituţii (ADR Vest, AM POS DRU, OIR POS DRU BI, OIR POD DRU Sud Muntenia, OI Energie, OIPSI .</t>
  </si>
  <si>
    <t>Axa prioritară 3: Diseminarea informaţiei şi promovarea instrumentelor structurale</t>
  </si>
  <si>
    <t>in implementare</t>
  </si>
  <si>
    <t>nelansat propuneri FAT si din AT POS CCE</t>
  </si>
  <si>
    <t>Servicii de transport intern AM POS CCE  2012-2013</t>
  </si>
  <si>
    <t>nelansat</t>
  </si>
  <si>
    <t xml:space="preserve">Achizitie de softuri specializate ( RIR,  management de proiect, contabilitate)  etc) </t>
  </si>
  <si>
    <t>RIR achizitionat</t>
  </si>
  <si>
    <t>proiect finalizat</t>
  </si>
  <si>
    <t>Amenajarea iniţială a arhivei şi servicii de legătorie</t>
  </si>
  <si>
    <t>Instruirea specializată a personalului OI IMM în diverse domenii, prin cursuri organizate în ţară şi în străinătate</t>
  </si>
  <si>
    <t xml:space="preserve">proiect nelansat - fişă de AT în analiză la AM </t>
  </si>
  <si>
    <t>proiect în implementare</t>
  </si>
  <si>
    <t>idee de proiect</t>
  </si>
  <si>
    <t>Sprijin pentru OI cercetare in vederea gestionarii ELY</t>
  </si>
  <si>
    <t xml:space="preserve">in pregatire </t>
  </si>
  <si>
    <t xml:space="preserve">Achizitia de active fixe, obiecte de inventar, mobilier, furnituri de birou, materiale consumabile </t>
  </si>
  <si>
    <t>Achizitionare rechizite si tonere OIE</t>
  </si>
  <si>
    <t>achizitie partial realizata</t>
  </si>
  <si>
    <t>Achizitionare produse pentru birouri (distrugator documente, robot telefonic, reportofon, aparat de fotografiat, laptop, dulapuri si fisete, scaune, carucior de birou)OIE</t>
  </si>
  <si>
    <t>proiect in curs de realizare</t>
  </si>
  <si>
    <t>Servicii transport  (intern si extern) si cazareOIE</t>
  </si>
  <si>
    <t>proiect in derulare</t>
  </si>
  <si>
    <t xml:space="preserve">Pregatire profesionala a personalului OIE  </t>
  </si>
  <si>
    <t>Achiziţie de echipamente: scanner, fax, copiator OIE</t>
  </si>
  <si>
    <t>proiect in curs de implemetare</t>
  </si>
  <si>
    <t>componenta 1 "sectiune web" - finalizat şi componenta 2 "campanie de evenimente" - in implementare</t>
  </si>
  <si>
    <t>in pregatire documentatie</t>
  </si>
  <si>
    <t>proiect in pregatire</t>
  </si>
  <si>
    <t>Organizarea unor evenimente pentru promovarea operatiunilor din cadrul AP 4 gestionate de OIE,  consultari pentru noul POS, elaborarea si achizitionarea de produse informative si de promovare, precum si sustinerea participarii OIE. 2011-2012</t>
  </si>
  <si>
    <t>Campanie nationala de promovare a rezultatelor proiectelor finantate prin POS-CCE-Axa prioritara 2</t>
  </si>
  <si>
    <t xml:space="preserve">Achizitia de servicii de management financiar si control AM POS CCE  pe o durata de 2 ani </t>
  </si>
  <si>
    <t xml:space="preserve">documentatie pregatita pentru lansare </t>
  </si>
  <si>
    <t>Asistenta tehnica pentru AM POS CCE pentru evaluarea implementarii axelor prioritare POS CCE</t>
  </si>
  <si>
    <t>transmis la SEAP</t>
  </si>
  <si>
    <t>Poştă şi curierat 2012-2015</t>
  </si>
  <si>
    <t>Alte proiecte în curs de identificare</t>
  </si>
  <si>
    <t>Monitorizare şi control 2012-2015</t>
  </si>
  <si>
    <t>Administrare arhivă şi legătorie 2012-2015</t>
  </si>
  <si>
    <t xml:space="preserve">Buget modificat. Decizie Curtea de Apel pentru semnarea contractului de catre AMPOSDRU.  </t>
  </si>
  <si>
    <t xml:space="preserve">S-a utilizat un curs actualizat de 1 EUR=4,3 ron </t>
  </si>
  <si>
    <t>Documentatia de atribuire a fost respinsa de ANRMAP. Documentatia in curs de revizuire si procedura va fi relansata in februarie 2012</t>
  </si>
  <si>
    <t>S-a utilizat un curs actualizat de 1 EUR=4,3 ron. Obiectiv V Masura 3 din PMP</t>
  </si>
  <si>
    <t>Sprijin pentru Autoritatea de Management pentru Programul Operaţional Sectorial Dezvoltarea Resurselor Umane şi Organismele Intermediare pentru implementarea activităţilor de informare şi publicitate prevăzute în Planul de Comunicare pentru Programul Operaţional Sectorial Dezvoltarea Resurselor Umane</t>
  </si>
  <si>
    <t>2.515.00</t>
  </si>
  <si>
    <t xml:space="preserve">Proiect NOU. Procedura de achizitie in curs de finalizare. </t>
  </si>
  <si>
    <t>S-a utilizat un curs actualizat de 1 EUR=4,3 ron Obiectiv IV Masura 1 din PMP (revizuire site-uri AM si OI)</t>
  </si>
  <si>
    <t xml:space="preserve">Proiect inclus in proiectul precedent privind procesul de evaluare a proiectelor. </t>
  </si>
  <si>
    <t>Este inclus in proiectul de la pozitia 91.</t>
  </si>
  <si>
    <t>Este inclus in proiectul de la pozitia 21 (Sprijin pt. beneficiari)</t>
  </si>
  <si>
    <t>Este inclus in proiectul de la pozitia 91 (Info si publicitate)</t>
  </si>
  <si>
    <t>Proiect in implementare</t>
  </si>
  <si>
    <t xml:space="preserve">Proiect finalizat. </t>
  </si>
  <si>
    <t>Proiect finalizat.</t>
  </si>
  <si>
    <t xml:space="preserve">Proiect in implementare.  </t>
  </si>
  <si>
    <t xml:space="preserve">Titlul proiectului / contractului de achiziţie publică </t>
  </si>
  <si>
    <t xml:space="preserve">Observaţii / Stadiu la 31.01.2012                                   </t>
  </si>
  <si>
    <t>Servicii de transfer echipamente IT (mutare/relocare) din sediile AM POS Mediu şi OI POS Mediu Bucureşti</t>
  </si>
  <si>
    <t>Servicii de transfer mobilier şi birotică (mutare/relocare) din sediile AM POS Mediu şi OI POS Mediu Bucureşti</t>
  </si>
  <si>
    <t>16,574 lei fara TVA</t>
  </si>
  <si>
    <t>19,944,780 lei fără TVA</t>
  </si>
  <si>
    <t>proiect în pregătire, procedura de achiziţie este programată în Trim III.2012</t>
  </si>
  <si>
    <t>proiect în pregătire, procedura de achiziţie este programată în Trim IV.2012</t>
  </si>
  <si>
    <t>contract în curs de atribuire (solutionare contestatie)</t>
  </si>
  <si>
    <t>proiect în pregătire, procedura de achiziţie este programată în Trim I.2012</t>
  </si>
  <si>
    <t>procedura de achiziţie  fost lansată în luna decembrie 2011</t>
  </si>
  <si>
    <t>contract în curs de derulare</t>
  </si>
  <si>
    <t>procedura de atribuire a fost lansata în Decembrie 2011, în curs de atribuire</t>
  </si>
  <si>
    <t>procedura de atribuire a fost reluată în luna Decembrie 2011</t>
  </si>
  <si>
    <t>Studiu privind implementarea unei contabilităţi centralizate pentru toate instituţiile responsabile de gestionarea financiară a instrumentelor structurale.</t>
  </si>
  <si>
    <t>Implementarea unei contabilităţi centralizate pentru toate instituţiile responsabile de gestionarea financiară a instrumentelor structurale.</t>
  </si>
  <si>
    <t>Formare pentru sistemul de gestionare a IS 
1. Training, la nivel de bază privind principiile aplicabile IS, managementul ciclului de proiect şi noua legislaţie în domeniul achiziţiilor publice pentru minim 300 persoane;  
2. Training, la nivel avansat în domeniul controlului şi managementului financiar, organizat pentru minim 150 persoane; Acest modul va fi completat prin schimb de experienţă, în acest domeniu, în State Membre ale Uniunii Europene; 
3. Formare în elaborarea ghidurilor solicitanţilor şi managementul solicitărilor de finanţare, organizat pentru minim 300 persoane;    
4. Formare în domeniul auditului Fondurilor Structurale şi de Coeziune. Componenta se va adresa unui număr de minim 100 persoane.</t>
  </si>
  <si>
    <r>
      <t xml:space="preserve">Documentatia de atribuire este finalizata.  Proiectul a fost transmis spre publicare in SEAP in data de 22.06.2011, fiind publicat in data de 28.06.2011.  Termenul limită pentru depunerea ofertelor a fost 09.08.2011.
A fost depusă o singură ofertă.  A fost finalizată evaluarea ofertelor și aprobat raportul procedurii de atribuire, a fost informat ofertantul castigator.
Cererea de finanțare a fost depusă în data de 13.07.2011, iar în data de 05.08.2011 AM a comunicat DPAT aprobarea cererii de finanțare. </t>
    </r>
    <r>
      <rPr>
        <sz val="10"/>
        <color indexed="10"/>
        <rFont val="Arial"/>
        <family val="2"/>
      </rPr>
      <t>Contractul a fost semnat in data de 15.09.2011.</t>
    </r>
  </si>
  <si>
    <r>
      <t xml:space="preserve">Documentația de atribuire este finalizata. În data de 23.06.2011 a fost transmis anunțul de participare pentru publicare în SEAP. Anunțul de participare a fost respins în data de 28.06.2011. Procedura a fost relansată în data de 07.07.2011 prin transmiterea anunțului de participare în SEAP și publicarea acestuia in data de 08.07.2011. Termenul limita pentru depunerea ofertelor este 24.08.2011. Procedura a fost anulată în data de 20.07.2011. Documentația de atribuire a fost revizuită și procedura de atribuire a fost relansată prin publicarea în SEAP a anunțului de participare în data de 23.07.2011. Termenul  limită pentru depunerea ofertelor este 05.09.2011 ora 10.
 Au fost depuse 4 oferte și sunt în curs de evaluare. Perioada de evaluare a fost extinsă până la data de 31.10.2011. Cererea de finanțare a fost depusă in data de 29.08.2011. </t>
    </r>
    <r>
      <rPr>
        <sz val="10"/>
        <color indexed="10"/>
        <rFont val="Arial"/>
        <family val="2"/>
      </rPr>
      <t xml:space="preserve">Proiectul a fost atribuit si contractul este in curs de avizare la Directia Juridică. </t>
    </r>
  </si>
  <si>
    <r>
      <t xml:space="preserve">A fost finalizată documentația de atribuire și se lucrează la cererea de finanțare. </t>
    </r>
    <r>
      <rPr>
        <sz val="10"/>
        <color indexed="10"/>
        <rFont val="Arial"/>
        <family val="2"/>
      </rPr>
      <t>Cererea de fnanțare a fost depusă în data de 24.10.2011. Proiectul va fi realizat de catre BEI.</t>
    </r>
  </si>
  <si>
    <r>
      <t xml:space="preserve">Documentația de atribuire este finalizată.
Proiectul nu are filă de buget aprobată. Beneficiarul trebuie să transmită o confirmare că proiectul nu se suprapune cu alte proiecte. Buget modificat de la 2.000.000 la 7.150.000. </t>
    </r>
    <r>
      <rPr>
        <sz val="10"/>
        <color indexed="10"/>
        <rFont val="Arial"/>
        <family val="2"/>
      </rPr>
      <t xml:space="preserve">Cererea de finanțare a fost depusă în data de 30.09.2011. Procedura de achiziție urmeaza sa fie lansată in 2012, după aprobarea cererii de finanțare. </t>
    </r>
  </si>
  <si>
    <t>Training in comunicare pentru membrii Grupului de lucru pentru comunicare</t>
  </si>
  <si>
    <t xml:space="preserve">Lansare estimată pentru luna martie 2012. </t>
  </si>
  <si>
    <t>Servicii de instruire in vederea prevenirii situatiilor de frauda, incompatibilitate, conflicte de interese si nereguli in cadrul Autoritatilor de Management si Organismelor Intermediare</t>
  </si>
  <si>
    <r>
      <t>Achiziţie echipamente TI&amp;C pentru funcţionarea SMIS la nivelul ADR B-I, PO DCA, ADR Centru -</t>
    </r>
    <r>
      <rPr>
        <sz val="10"/>
        <color indexed="48"/>
        <rFont val="Arial"/>
        <family val="2"/>
      </rPr>
      <t xml:space="preserve"> </t>
    </r>
    <r>
      <rPr>
        <sz val="10"/>
        <color indexed="12"/>
        <rFont val="Arial"/>
        <family val="2"/>
      </rPr>
      <t xml:space="preserve">Finalizate </t>
    </r>
  </si>
  <si>
    <t>Servicii de monitorizare de presa II</t>
  </si>
  <si>
    <t>Tiparirea de brosuri privind AT</t>
  </si>
  <si>
    <t>Redesign site www.poat.ro</t>
  </si>
  <si>
    <t>Lansare planificata pentru aprilie 2012</t>
  </si>
  <si>
    <r>
      <t xml:space="preserve">Studiu privind identificarea direcţiilor prioritare de reformă a Politicii de Coeziune post-2013 din perspectiva României </t>
    </r>
    <r>
      <rPr>
        <sz val="10"/>
        <color indexed="17"/>
        <rFont val="Arial"/>
        <family val="2"/>
      </rPr>
      <t>-</t>
    </r>
    <r>
      <rPr>
        <sz val="10"/>
        <color indexed="12"/>
        <rFont val="Arial"/>
        <family val="2"/>
      </rPr>
      <t xml:space="preserve"> Finalizat</t>
    </r>
  </si>
  <si>
    <t>Total 2011-2015:</t>
  </si>
  <si>
    <t xml:space="preserve">Identificarea domeniilor in care se pot aplica mecanisme de inginerie financiara si definirea acelor mecanisme
</t>
  </si>
  <si>
    <t>Modernizarea sistemului cadastral</t>
  </si>
  <si>
    <t>Crearea capacitatii de analiza economica in sprijinul elaborarii politicilor</t>
  </si>
  <si>
    <t>Consolidarea responsabilitatii managementului retelelor de utilitati</t>
  </si>
  <si>
    <t xml:space="preserve">În data de 8.12.2010 s-a semnat contractul de consultanţă aferent. Proiectul iniţial a fost retras de beneficiar şi în urma discuţiilor cu CE a fost redepus în 16.02.2011. Decizia de finanţare s-a semnat în data de 18.03.2011 şi proiectul este în implementare. Până la 31.01.2012 au fost autorizate cheltuieli eligibile in valoare de 150.461 euro (13%). </t>
  </si>
  <si>
    <t>Dezvoltarea unui mecanism pentru asigurarea complementaritatii între intervenţiile naţionale / comunitare / alte programe în perspectiva exercitiului de programare 2014-2020</t>
  </si>
  <si>
    <t>Contractul de achizitie a întâmpinat probleme în implementare,obiectivele proiectului au fost atinse parţial. Pentru rezultatele proiectului care nu au fost îndeplinite se va relansa procedura de achiziie a serviciilor, a se vedea Faza 2.</t>
  </si>
  <si>
    <t xml:space="preserve">Asigurarea materialelor şi componentelor necesare derularii activităţilor specifice managementul fondurilor, în conformitate cu regulamentele comunitare si legislaţia naţională in cadrul OIR POS DRU Regiunea Sud Est </t>
  </si>
  <si>
    <t>Utilarea spaţiului necesar desfăşurării activităţilor de monitorizare a proiectelor finanţate din FSE</t>
  </si>
  <si>
    <t>Asigurarea echipamentelor IT şi componentelor pentru desfasurarea in bune conditii a activitatii OIR POSDRU Regiunea Sud Muntenia</t>
  </si>
  <si>
    <t>Asigurarea resurselor consumabile necesare desfăşurării în condiţii optime a activităţilor specifice managementul fondurilor</t>
  </si>
  <si>
    <t>Plan indicativ de proiecte propuse pentru Axa de Asistenţă Tehnică a pentru perioada 2011-2015</t>
  </si>
  <si>
    <t xml:space="preserve">Programului Operaţional Dezvoltarea Resurselor Umane  </t>
  </si>
  <si>
    <t>Subtotal</t>
  </si>
  <si>
    <t xml:space="preserve">Cheltuielile OIR POSDRU Vest cu  utilitati (EON, ENEL) si administrative locatia inchiriata </t>
  </si>
  <si>
    <r>
      <t>Asigurarea resurselor necesare organizarii evenimentelor de sprijin pentru beneficiarii contractelor POSDRU aflati in implementare - suport pentru îndeplinirea atribuţiilor delegate OIRPOSDRU SV OLTENIA -</t>
    </r>
    <r>
      <rPr>
        <sz val="9"/>
        <rFont val="Arial"/>
        <family val="2"/>
      </rPr>
      <t>durata 1 an</t>
    </r>
    <r>
      <rPr>
        <b/>
        <sz val="9"/>
        <rFont val="Arial"/>
        <family val="0"/>
      </rPr>
      <t xml:space="preserve"> * </t>
    </r>
  </si>
  <si>
    <r>
      <t xml:space="preserve">Asigurarea materialelor şi componentelor necesare bunei funcţionări a copiatorelor, imprimantelor şi multifuncţionalelor de reţea din cadrul OIR POS DRU SV OLTENIA - </t>
    </r>
    <r>
      <rPr>
        <sz val="9"/>
        <rFont val="Arial"/>
        <family val="2"/>
      </rPr>
      <t>durata 6  luni*</t>
    </r>
  </si>
  <si>
    <r>
      <t xml:space="preserve">Asigurarea cheltuielilor cu transportul  si cazarea pentru personalul  OIR POS DRU SUD VEST OLTENIA - </t>
    </r>
    <r>
      <rPr>
        <sz val="9"/>
        <rFont val="Arial"/>
        <family val="2"/>
      </rPr>
      <t>durata  1an*</t>
    </r>
  </si>
  <si>
    <r>
      <t>Asigurarea materialelor consumabile  -</t>
    </r>
    <r>
      <rPr>
        <sz val="9"/>
        <rFont val="Arial"/>
        <family val="2"/>
      </rPr>
      <t xml:space="preserve"> durata  1 an*</t>
    </r>
  </si>
  <si>
    <r>
      <t xml:space="preserve">Extinderea şi dotarea  spaţiului destinat pastrarii/prearhivării proiectelor finanţate din FSE,protecţia împotriva incendiilor - </t>
    </r>
    <r>
      <rPr>
        <sz val="9"/>
        <rFont val="Arial"/>
        <family val="2"/>
      </rPr>
      <t>durata - 6 luni*</t>
    </r>
    <r>
      <rPr>
        <b/>
        <sz val="9"/>
        <color indexed="17"/>
        <rFont val="Arial"/>
        <family val="0"/>
      </rPr>
      <t xml:space="preserve">                                                                                  </t>
    </r>
    <r>
      <rPr>
        <b/>
        <sz val="9"/>
        <rFont val="Arial"/>
        <family val="0"/>
      </rPr>
      <t xml:space="preserve"> </t>
    </r>
  </si>
  <si>
    <r>
      <t xml:space="preserve">Servicii de comunicaţii pentru OIRPOSDRU SUD MUNTENIA - conexiune de </t>
    </r>
    <r>
      <rPr>
        <sz val="9"/>
        <rFont val="Arial"/>
        <family val="2"/>
      </rPr>
      <t>voce şi transmisii de date de tip MPLS de minim 10 Mbps prin fibră optică</t>
    </r>
  </si>
  <si>
    <t>Asigurarea sprijinului logistic pentru AM PO DCA</t>
  </si>
  <si>
    <t>contracte în implementare</t>
  </si>
  <si>
    <t>acord-cadru în derulare</t>
  </si>
  <si>
    <t>Sprijin pentru funcţionarea AM PO DCA şi pentru pregătirea următorului exerciţiu de programare (sprijin direct)</t>
  </si>
  <si>
    <t>contracte în pregătire privind achiziţionarea de expertiză pentru verificarea achiziţiilor, control la faţa locului, monitorizare</t>
  </si>
  <si>
    <t>contracte finalizate</t>
  </si>
  <si>
    <t>contracte prin care se organizează reuniunile CM PO DCA, de două ori pe an</t>
  </si>
  <si>
    <t>participare la seminarii, conferinţe
cursuri de formare în pregătire</t>
  </si>
  <si>
    <t>contracte în implementare
contracte care vor fi lansate în anul 2012</t>
  </si>
  <si>
    <t>Sprijin pentru funcţionarea AM PO DCA şi pentru pregătirea următorului exerciţiu de programare (sprijin indirect)</t>
  </si>
  <si>
    <t>contracte în pregătire privind pregătirea următoarei perioade, realizarea de studii,analize, furnizarea de training pentru personalul AM PO DCA, realizarea de evaluări ale PO DCA</t>
  </si>
  <si>
    <t>proiectul se finalizează în 12.02.2012</t>
  </si>
  <si>
    <t>contract care va fi lansat în martie 2012</t>
  </si>
  <si>
    <t xml:space="preserve">Plan indicativ de proiecte propuse pentru Axa de Asistenţă Tehnică pentru perioada 2011-2015 updatat in 8.11.2011 </t>
  </si>
  <si>
    <t xml:space="preserve">proiect in implementare </t>
  </si>
  <si>
    <t>Achizitia de servicii de management financiar si control AM POS CCE 2011</t>
  </si>
  <si>
    <t xml:space="preserve">pentru anul 2011 in implementare </t>
  </si>
  <si>
    <t xml:space="preserve">Sprijin pentru gestionarea axei de  asistenta tehnica privind intocmirea documentatiilor de atribuire si expertiza financiar/contabila </t>
  </si>
  <si>
    <t xml:space="preserve"> se lanseaza in trimestrul III propunere FAT </t>
  </si>
  <si>
    <t xml:space="preserve">contractat in implementare </t>
  </si>
  <si>
    <t xml:space="preserve">contract in implementare </t>
  </si>
  <si>
    <t>Arhivare fizica AM POS CCE</t>
  </si>
  <si>
    <t>Curs de achizitii publice AM</t>
  </si>
  <si>
    <t>finalizat</t>
  </si>
  <si>
    <t>Inchiriere sediu Am si OIE; OI IMM inclusiv utilitati</t>
  </si>
  <si>
    <t xml:space="preserve">In curs de implementare </t>
  </si>
  <si>
    <t xml:space="preserve">nelansat </t>
  </si>
  <si>
    <t>Contractarea de experţi externi pentru procesul de evaluare a proiectelor depuse în cadrul operaţiunilor gestionate de OI IMM, din cadrul Axei prioritare 1 a POS CCE -apeluri 2011</t>
  </si>
  <si>
    <t>procedura lansată/raport de atribuire în curs de semnare</t>
  </si>
  <si>
    <t xml:space="preserve">proiect/ contract in implementare </t>
  </si>
  <si>
    <t>proiect/ contract în implementare</t>
  </si>
  <si>
    <t>Sprijin în implementarea operaţiunii de Clustere</t>
  </si>
  <si>
    <t>Asistenţă juridică acordată OI IMM în relaţia cu terţii şi pentru sprijinirea Serviciului Contractare şi Juridic în realizarea activităţilor specifice</t>
  </si>
  <si>
    <t xml:space="preserve"> documentaţie de atribuire în pregătire (relansare)</t>
  </si>
  <si>
    <t>Sprijin pentru  controlul proiectelor din cadrul Axei prioritare 3 POS CCE.</t>
  </si>
  <si>
    <t>fişă de AT aprobată, documentaţie de atribuire în pregătire (relansare)</t>
  </si>
  <si>
    <t>Sprijin pentru  monitorizarea proiectelor din cadrul Axei prioritare 3 POS CCE.</t>
  </si>
  <si>
    <t xml:space="preserve">Sprijin pentru verificarea cererilor de rambursare </t>
  </si>
  <si>
    <t>partial implementat</t>
  </si>
  <si>
    <t>Sprijin pentru transport și cazare</t>
  </si>
  <si>
    <t>Achizitionare semnatura digitala Am si OI-uri</t>
  </si>
  <si>
    <t>Achizitie de servicii pentru vizite de monitorizare AM POS CCE</t>
  </si>
  <si>
    <t xml:space="preserve">arhivarea fizica este in derulare proiect urmeaya arhivarea electronica </t>
  </si>
  <si>
    <t xml:space="preserve">in pregatire &amp; partial in implementare </t>
  </si>
  <si>
    <t>Anuntul de participare publicat in data de 09.09.2011. Procedura anulata. Documentatia in curs de revizuire si procedura va fi relansata in februarie 2012.</t>
  </si>
  <si>
    <t xml:space="preserve">Procedura anulata. Documentatia in curs de revizuire si procedura va fi relansata in februarie 2012.    </t>
  </si>
  <si>
    <t>S-a utilizat un curs actualizat de 1 EUR=4,3 ron. Obiectiv I Masura 2.1 si 2.2 din PMP Obiectiv III Masura 1.1.2 din PMP (indicatori de moni torizare). Obiectiv II Masura 2 din PMP (proiecte critice). Obiectiv I Masura 2.3 din PMP (blue-call)</t>
  </si>
  <si>
    <t>Inchiriere imobile cu destinatie - sediu OIR POS DRU REGIUNEA SUD VEST OLTENIA si reprezentante  judetene (perioada  2011-2015)</t>
  </si>
  <si>
    <t>Asigurarea produselor de birotica si papetarie necesare functionarii OIR POSDRU- Nord Est</t>
  </si>
  <si>
    <t>OI POSDRU Sud Vest Oltenia</t>
  </si>
  <si>
    <t>OI POSDRU ANOFM</t>
  </si>
  <si>
    <t xml:space="preserve">Asigurarea materialelor şi componentelor necesare bunei funcţionări a copiatorelor, imprimantelor şi multifuncţionalelor de reţea din cadrul OIR POS DRU Regiunea Sud Muntenia </t>
  </si>
  <si>
    <t>OI POSDRU BUC. ILFOV</t>
  </si>
  <si>
    <t>Sprijinirea Direcţiei Coordonare de Sistem şi a reţelei de coordonatori în gestionarea SMIS-CSNR 2014-2015</t>
  </si>
  <si>
    <t>Dezvoltarea unei comunităţi eficiente şi profesioniste de utilizatori SMIS-CNSR</t>
  </si>
  <si>
    <t>Menţinerea unei comunităţi eficiente şi profesioniste de utilizatori SMIS-CSNR 2011-2013</t>
  </si>
  <si>
    <t>Activităţi de informare şi diseminare de bune practici adresate utilizatorilor SMIS 2011-2013</t>
  </si>
  <si>
    <t xml:space="preserve">Promovarea MySMIS </t>
  </si>
  <si>
    <t>Îmbunătăţirea arhitecturii hardware şi software a site-ului secundar pentru SMIS-CSNR şi aplicaţiile sale conexe</t>
  </si>
  <si>
    <t>Colocarea site-ului secundar pentru SMIS-CSNR şi aplicaţiile sale conexe</t>
  </si>
  <si>
    <t>Formare continuă a personalului implicat în gestionarea Fondurilor Structurale şi de Coeziune</t>
  </si>
  <si>
    <t>În prezent se derulează activităţi de pregătire a unei solicitări de servicii pentru FAT, vizând sprijin în dezvoltarea unui mecanism pentru asigurarea complementaritatii între intervenţiile naţionale / comunitare / alte programe.
În ceea ce priveşte mecanismul pentru evitarea dublei finanţări, acesta se va realiza prin soluţia informatică ce va fi dezvoltată ca urmare a derulării de către DCS a proiectului nr. 4/ DMI 2.1 - Studiu privind identificarea unei soluţii informatice care să permită evitarea dublei finanţări a unui proiect, din instrumente structurale şi din alte surse publice. Initial in Planul de Lucru valoarea acestui proiect era de 1.368.000 lei.</t>
  </si>
  <si>
    <t>a) Identificarea nevoilor de dezvoltare:
– abordare din punct de vedere al principalelor categorii de beneficiari (entităţi publice centrale, entităţi publice locale, sector privat, ONG/societate civilă) prin chestionare, interviuri
– abordare de la nivelul domeniilor economice şi sociale prin dezbateri publice, seminarii, caravane;
– abordare din punct de vedere financiar prin estimarea valorii nevoilor identificate şi a potenţialului naţional de (co)finanţare (public sau privat);
b) Analiză comparativă a nevoilor identificate cu politicile publice existente (inclusiv din punct de vedere al alocărilor financiare stabilite prin aceste politici);
c) Elaborarea a 2-3 scenarii de abordare a cadrului de programare post 2013 (pentru Obiectivul Convergentă).</t>
  </si>
  <si>
    <t>Elaborarea documentelor naţionale de programare 2014-2020</t>
  </si>
  <si>
    <t>Achiziţionare echipamente şi licenţe pentru site-ul secundar.</t>
  </si>
  <si>
    <t>Va măsura eficacitatea campaniei integrate 1 şi va sta la baza campaniei integrate 2.</t>
  </si>
  <si>
    <t>Va măsura eficacitatea campaniei integrate 2 şi va sta la baza campaniei integrate 3.</t>
  </si>
  <si>
    <t>Dezvoltarea capacităţii de evaluare</t>
  </si>
  <si>
    <t>Participare la conferinţe internaţionale de evaluare</t>
  </si>
  <si>
    <t>Acord cadru pentru evaluarea instrumentelor structurale - Lot 1 evaluări</t>
  </si>
  <si>
    <t>Acord cadru pentru evaluarea instrumentelor structurale - Lot 2 dezvoltarea capacităţii de evaluare</t>
  </si>
  <si>
    <t>Dezvoltarea şi mentenanţa paginii de web www.fonduri-ue.ro</t>
  </si>
  <si>
    <t>Asigurare pază sedii AM şi OI POS Mediu</t>
  </si>
  <si>
    <t>Sprijin indirect pentru implementarea PO</t>
  </si>
  <si>
    <t>Informare si publicitate</t>
  </si>
  <si>
    <t>TOTAL PLAN LUCRU</t>
  </si>
  <si>
    <t>Subtotal informare şi publicitate</t>
  </si>
  <si>
    <t>TOTAL Axa AT proiecte cuprinse in plan care incep implementarea in 2011</t>
  </si>
  <si>
    <t>Plan indicativ de proiecte propuse pentru Axa de Asistenţă Tehnică pentru perioada 2011-2015</t>
  </si>
  <si>
    <t xml:space="preserve">Programul Operaţional Sectorial Mediu </t>
  </si>
  <si>
    <t xml:space="preserve">Proiecte 2010 din plan </t>
  </si>
  <si>
    <t>Subtotal sprijin direct pentru implementarea PO</t>
  </si>
  <si>
    <t xml:space="preserve">Sprijin direct pentru implementarea PO </t>
  </si>
  <si>
    <t>Subtotal sprijin indirect pentru implementarea PO</t>
  </si>
  <si>
    <t>DMI 3.1. Diseminarea informaţiilor generale şi derularea activităţilor de publicitate cu privire la instrumentele structurale alocate României</t>
  </si>
  <si>
    <t>DMI 3.2. Funcţionarea Centrului de Informare pentru Instrumentele Structurale</t>
  </si>
  <si>
    <t>sem 1 2011</t>
  </si>
  <si>
    <t>sem 2 2011</t>
  </si>
  <si>
    <t>sem 2 2012</t>
  </si>
  <si>
    <t>sem 1 2013</t>
  </si>
  <si>
    <t>sem 2 2014</t>
  </si>
  <si>
    <t>sem 1 2015</t>
  </si>
  <si>
    <t>Finalizate</t>
  </si>
  <si>
    <t>Plati</t>
  </si>
  <si>
    <t>contractare</t>
  </si>
  <si>
    <t>implementare</t>
  </si>
  <si>
    <t>închidere plăţi</t>
  </si>
  <si>
    <t>scris cu negru reprezintă proiect primit şi aprobat de AM</t>
  </si>
  <si>
    <t xml:space="preserve">scris cu verde reprezintă proiect planificat </t>
  </si>
  <si>
    <t>Plan indicativ de proiecte finanţate din Programul Operaţional Asistenţă Tehnică şi proiecte propuse pentru perioada 2011-2015</t>
  </si>
  <si>
    <t>Îmbunătăţirea sistemului de indicatori utilizaţi în monitorizarea şi evaluarea Programelor Operaţionale şi Cadrului Strategic Naţional de Referinţă - Faza 1</t>
  </si>
  <si>
    <t>Îmbunătăţirea sistemului de indicatori utilizaţi în monitorizarea şi evaluarea Programelor Operaţionale şi Cadrului Strategic Naţional de Referinţă - Faza 2</t>
  </si>
  <si>
    <t>Scopul este de a elabora Ghidul privind indicatorii si recomandari pentru imbunatatirea sistemului de statistica</t>
  </si>
  <si>
    <t>Proiectul va fi dezvoltat după finalizarea Îmbunătăţirea sistemului de indicatori utilizaţi în monitorizarea şi evaluarea Programelor Operaţionale şi Cadrului Strategic Naţional de Referinţă - Faza 2</t>
  </si>
  <si>
    <t xml:space="preserve">Toate cele 3 loturi sunt în implementare. Până la 31.01.2012 au fost aprobate: Lotul 1 - 4 solicitări , Lotul 2 - 4 solicitări, Lotul 3 - 3 solicitări, pentru care urmează să se lanseze licitaţia în cadrul acordului cadru.  În plus, pe lotul 3 a fost finalizat un contract subsecvent. </t>
  </si>
  <si>
    <t>Memorandumul cu Banca Mondială a fost semnat în data de 26 ianuarie 2012 şi urmează să se finalizeze negocierea contractului pentru acest proiect şi semnarea acordului de servicii de consultanţă.</t>
  </si>
  <si>
    <t>Proiect care depinde de decizii la nivel politic</t>
  </si>
  <si>
    <t>Beneficiarul (DAP/ACIS) a lansat licitaţia pentru contractul de achiziţie publică aferent în 29.12. 2011 (termen de depunere a ofertelor 08.02.2012), cererea de finanţare urmând a fi depusă la AM POAT.</t>
  </si>
  <si>
    <t xml:space="preserve">Lansare estimată de beneficiar (DAP-ACIS) pentru aprilie 2012. </t>
  </si>
  <si>
    <t>Beneficiarul preconizează lansarea licitaţiei pentru contractul de achiziţie publică aferent în martie 2012, cererea de finanţare urmând a fi depusă la AM POAT.</t>
  </si>
  <si>
    <t>Beneficiarul estimeaza lansarea in semestrul I 2013.</t>
  </si>
  <si>
    <t xml:space="preserve">Cererea de finanţare a fost depusă la AM în 26.01.2011 şi decizia de finanţare s-a semnat în 23.02.2011. </t>
  </si>
  <si>
    <t>Proiectul a fost depus la AM POAT şi a fost semnat contractul de finanţare cu perioada de implementare 01.07.2011-30.06.2013. Până la 31.01.2012 nu au fost rambursate sume în cadrul acestui proiect. Beneficiarul estimeaza lansarea licitatiei pentru contractul de achizitie publica a consultantei in luna martie 2012.</t>
  </si>
  <si>
    <t xml:space="preserve">AM POAT a lucrat informal cu UCVAP la cerera de finanţare însă aceasta nu a fost primită oficial. </t>
  </si>
  <si>
    <t>Proiectul a fost depus la AM POAT şi a fost semnat contractul de finanţare cu perioada de implementare 01.11.2011-31.03.2013. Până la 31.01.2012 nu au fost rambursate sume în cadrul acestui contract. Contractul de achizitie publica subsecvent nu a fost lansat pana la data de 31.01.2012.</t>
  </si>
  <si>
    <t>Toate cele 7 proiecte sunt în implementare. Până la 31.12.2011 plăţile efectuate erau de 875.000 euro (prefinantări+rambursări), respectiv 35%. Având în vedere volumul rambursărilor efectuate până în prezent, se estimează că proiectele vor fi prelungite.</t>
  </si>
  <si>
    <t>Toate cele 30 de proiecte au fost finalizate, însă trebuie efectuate plăţile finale pe aceste proiecte. Până la 31.12.2011 plăţile efectuate erau de 14,8 milioane euro (74%). S-au înregistrat întârzieri mari în depunerea cererilor de rambursare la următoarele instituţii: Curtea de Conturi, Ministerul Educaţiei, Ministerul Muncii şi Ministerul Mediului.</t>
  </si>
  <si>
    <t>Urmează să fie depuse la AM POAT începând cu luna februarie 2012.</t>
  </si>
  <si>
    <t xml:space="preserve">Proiect finalizat </t>
  </si>
  <si>
    <t>În data de 8.12.2010 a fost semnat contractul de achizitie aferent. Până la 31.01.2012 au fost autorizate cheltuieli eligibile in valoare de 200.000 euro (36%).</t>
  </si>
  <si>
    <t xml:space="preserve">Cererea de finanţare a fost depusă la AM şi decizia s-a semnat în data de 30.06.2011. Acordul cadru pentru lotul 1 a fost semnat în luna august 2011. Până la 31.01.2012, au fost semnate 2 contracte subsecvente. </t>
  </si>
  <si>
    <t>Proiectul este în pregătire, va fi depus spre finanţare în cursul lunii februarie 2012.</t>
  </si>
  <si>
    <t>În cadrul acestui proiect s-au finalizat doua contracte de achizitie de instruire şi urmează închiderea financiară a proiectului.</t>
  </si>
  <si>
    <t>În data de 1.02.2011 a fost semnat contractul de achizitie Până la data de 31.01.2012 cheltuielile autorizate erau in valoare de mbursate erau de 290.400 (40%).</t>
  </si>
  <si>
    <t>Acord cadru formare pentru sistemul de gestionare a IS în managementul PO</t>
  </si>
  <si>
    <t xml:space="preserve">Lansare estimată pentru luna februarie 2012. </t>
  </si>
  <si>
    <t>Obiectiv I Masura 1.2 din PMP</t>
  </si>
  <si>
    <t>Obiectiv I Masura 2.3 din PMP</t>
  </si>
  <si>
    <t>Obiectiv II Masura 1 din PMP</t>
  </si>
  <si>
    <t xml:space="preserve">Identificare si masuri de relansare a proiectelor critice la nivelul beneficiarilor de finantare in cadrul POSDRU </t>
  </si>
  <si>
    <t xml:space="preserve">Continuarea sprijinului pentru AMPOSDRU şi OI în vederea implementării POSDRU. </t>
  </si>
  <si>
    <t>Imbunatatirea activitatilor de monitorizare si raportare a indicatorilor si diseminarea informatiilor din Ghidul Solicitantului.</t>
  </si>
  <si>
    <t xml:space="preserve">Revizuirea site-ului AM POSDRU si OI POSDRU in vederea imbunatatirii reflectarii evolutiei implementarii POSDRU </t>
  </si>
  <si>
    <t>Obiectiv IV Masura 1 din PMP</t>
  </si>
  <si>
    <t>Obiectiv IV Masura 2 din PMP</t>
  </si>
  <si>
    <t>Proiect finalizat</t>
  </si>
  <si>
    <t>S-a utilizat un curs actualizat de 1 EUR=4,3 ron</t>
  </si>
  <si>
    <t xml:space="preserve">Contract semnat in 24.10.2011 si suspendat. Solutie favorabila, contract in curs de demarare. </t>
  </si>
  <si>
    <t>Procedura anulata. A fost primita o oferta inacceptabila. Procedura va fi relansata in februarie 2012. Buget modificat.</t>
  </si>
  <si>
    <t>Proiecte care încep implementarea în 2011 - 2012</t>
  </si>
  <si>
    <t>Asistenţă tehnică pentru MMFPS - DG AM POS DRU în vederea acordării de sprijin in implementare pentru beneficiarii de contracte de finanţare acordată în cadrul POS DRU (Sesiuni de instruire dedicate beneficiarilor; Help-desk pentru beneficiari; Identificarea proiectelor critice și stabilirea măsurilor de redresare; Îmbunătăţirea utilizării sistemului de indicatori în monitorizarea POSDRU 2007-2013)</t>
  </si>
  <si>
    <t xml:space="preserve">Proiect inclus in proiectul de la poz. 21. </t>
  </si>
  <si>
    <t>Sprijin pentru AMPOSDRU in vederea realizarii verificarilor de management la fata locului, monitorizarii ex-post si vizitelor speciale privind operatiunile finantate in cadrul POSDRU</t>
  </si>
  <si>
    <t xml:space="preserve">Asistenţă tehnică pentru AMPOSDRU în procesul de contractare a proiectelor finantate in cadrul FSE din POSDRU </t>
  </si>
  <si>
    <t>Asistenta tehnica pentru AMPOSDRU in procesul de evaluare a proiectelor finantate din FSE in cadrul POSDRU.</t>
  </si>
  <si>
    <t>Proiect CM 2011 finalizat.</t>
  </si>
  <si>
    <t>Asigurarea de echipamente de calcul, imprimante si multifucntionale de retea pentru AMPOSDRU - suport pentru indeplinirea atributiilor in domeniul managementului genaral, al implementarii si evaluarii POS DRU</t>
  </si>
  <si>
    <t>Buget revizuit. Procedura va fi lansata in luna martie 2012.</t>
  </si>
  <si>
    <t xml:space="preserve">Perfectionarea   cunostintelor  personalului OIR POS DRU  Regiunea Sud Vest Oltenia  de  limba engleza, limba franceza si limba germana
</t>
  </si>
  <si>
    <t>Închiriere imobil (clădire existentă şi terenul aferent) necesar funcţionării OIR POSDRU Regiunea Sud Muntenia”</t>
  </si>
  <si>
    <t>Observatii</t>
  </si>
  <si>
    <t>1. Sprijin pentru implementarea activităţilor de informare şi publicitate din Planul de Comunicare pentru Programul Operaţional Regional 2007-2013 la nivelul Regiunii Vest</t>
  </si>
  <si>
    <t>300 000</t>
  </si>
  <si>
    <t>2. Sprijin pentru implementarea activităţilor de informare şi publicitate din Planul de Comunicare pentru Programul Operaţional Regional 2007-2013 la nivelul Regiunii Vest</t>
  </si>
  <si>
    <t>190 046,69</t>
  </si>
  <si>
    <t>3. Sprijin pentru implementarea activităţilor de informare şi publicitate din Planul de Comunicare pentru Programul Operaţional Regional 2007-2013 la nivelul Regiunii Vest</t>
  </si>
  <si>
    <t>8 405 200,63</t>
  </si>
  <si>
    <t>ADR Vest</t>
  </si>
  <si>
    <t>2 500 000</t>
  </si>
  <si>
    <t>2 000 000</t>
  </si>
  <si>
    <t>363 968. 25</t>
  </si>
  <si>
    <t>4 863 968.25</t>
  </si>
  <si>
    <t>Programul Operaţional Regional</t>
  </si>
  <si>
    <t>Dezvoltarea sistemului de statistică regională pentru IS</t>
  </si>
  <si>
    <t>* Situatie fara ADR-uri</t>
  </si>
  <si>
    <t>ADR Sud Vest Oltenia</t>
  </si>
  <si>
    <t>Total</t>
  </si>
  <si>
    <t>OI Centru</t>
  </si>
  <si>
    <t>OI MECTS</t>
  </si>
  <si>
    <t>OI POSDRU  BI</t>
  </si>
  <si>
    <t>OI POSDRU  Nord Vest</t>
  </si>
  <si>
    <t>OI POSDRU Nord Est</t>
  </si>
  <si>
    <t>OI POSDRU Sud Munteania</t>
  </si>
  <si>
    <t>OI POSDRU Sud Est</t>
  </si>
  <si>
    <t>OI POSDRU Vest</t>
  </si>
  <si>
    <t xml:space="preserve">Servicii de comunicaţii pentru OIRPOSDRU Sud-Vest Oltenia - conexiune de voce şi transmisii de date de tip MPLS de minim 10 Mbps prin fibră optică*                                                                  </t>
  </si>
  <si>
    <t xml:space="preserve">Organizarea de evenimente regionale (conferinţe regionale de lansare a cererilor de propuneri de proiecte, seminarii judeţene, caravane) pentru anul 2011  - durata  1 an*                                        </t>
  </si>
  <si>
    <t>Conferinţa naţională anuală privind implementarea POSDRU 2007-2013 (2011-2013)</t>
  </si>
  <si>
    <t>Organizarea conferinţei internaţionale privind promovarea POSDRU 2007-2013 în vederea accesării în parteneriat a FSE</t>
  </si>
  <si>
    <t>Implementarea Planului Anual de Comunicare al CNDIPT- OIPOSDRU pentru anul 2011</t>
  </si>
  <si>
    <t>Implementarea Planului Anual de Comunicare al CNDIPT- OIPOSDRU pentru anul 2012</t>
  </si>
  <si>
    <t>Implementarea Planului Anual de Comunicare al CNDIPT- OIPOSDRU pentru anul 2013</t>
  </si>
  <si>
    <t>2 ˝Sprijin pentru implementarea Programului Operational Regional in Regiunea Bucuresti - Ilfov˝ 2013-2014</t>
  </si>
  <si>
    <t>6 562 520</t>
  </si>
  <si>
    <t>Titlul Proiectului</t>
  </si>
  <si>
    <t>3 910 400</t>
  </si>
  <si>
    <t>3 880 000</t>
  </si>
  <si>
    <t>1. Sprijin pentru implementarea activităţilor de informare şi publicitate din Planul de Comunicare pentru Programul Operaţional Regional 2007-2013 la nivelul Regiunii Nord-Vest</t>
  </si>
  <si>
    <t>234 781</t>
  </si>
  <si>
    <t>2. Sprijin pentru implementarea activităţilor de informare şi publicitate din Planul de Comunicare pentru Programul Operaţional Regional 2007-2013 la nivelul Regiunii Nord-Vest</t>
  </si>
  <si>
    <t>180 000</t>
  </si>
  <si>
    <t>3. Sprijin pentru implementarea activităţilor de informare şi publicitate din Planul de Comunicare pentru Programul Operaţional Regional 2007-2013 la nivelul Regiunii Nord-Vest</t>
  </si>
  <si>
    <t>80 000</t>
  </si>
  <si>
    <t>10 365 181</t>
  </si>
  <si>
    <t>ADR Nord Vest</t>
  </si>
  <si>
    <t>1. Sprijin pentru implementarea activităţilor de informare şi publicitate din Planul de Comunicare pentru Programul Operaţional Regional 2007-2013 la nivelul Regiunii Sud-Vest</t>
  </si>
  <si>
    <t>2. Sprijin pentru implementarea activităţilor de informare şi publicitate din Planul de Comunicare pentru Programul Operaţional Regional 2007-2013 la nivelul Regiunii Sud-Vest</t>
  </si>
  <si>
    <t>3. Sprijin pentru implementarea activităţilor de informare şi publicitate din Planul de Comunicare pentru Programul Operaţional Regional 2007-2013 la nivelul Regiunii Sud-Vest</t>
  </si>
  <si>
    <t>ADR Sud-Vest Oltenia</t>
  </si>
  <si>
    <t>1 585 000</t>
  </si>
  <si>
    <t>2 080 000</t>
  </si>
  <si>
    <t>1.˝PRO REGIO BUCURESTI ILFOV 2011˝</t>
  </si>
  <si>
    <t>2.˝PRO REGIO BUCURESTI ILFOV 2012˝</t>
  </si>
  <si>
    <t>3.˝PRO REGIO BUCURESTI ILFOV 2013˝</t>
  </si>
  <si>
    <t>2 939 235</t>
  </si>
  <si>
    <t>5 100 000</t>
  </si>
  <si>
    <t>ADR Centru</t>
  </si>
  <si>
    <t>1. Sprijin pentru implementarea activităţilor de informare şi publicitate din Planul de Comunicare pentru Programul Operaţional Regional 2007-2013 la nivelul Regiunii Centru</t>
  </si>
  <si>
    <t>2. Sprijin pentru implementarea activităţilor de informare şi publicitate din Planul de Comunicare pentru Programul Operaţional Regional 2007-2013 la nivelul Regiunii Centru</t>
  </si>
  <si>
    <t>253 289.75</t>
  </si>
  <si>
    <t xml:space="preserve"> 420 000</t>
  </si>
  <si>
    <t>8 709 025.47</t>
  </si>
  <si>
    <t>“Sprijin pentru ADR SE in perioada 2011 – 2012 in vederea implementarii, managementului si evaluarii POR si pentru pregatirea urmatorului exercitiu de programare”</t>
  </si>
  <si>
    <t>Sprijin pentru ADR SE in perioada 2013 – 2015 in vederea implementarii, managementului si evaluarii POR si pentru pregatirea urmatorului exercitiu de programare”</t>
  </si>
  <si>
    <t xml:space="preserve">         </t>
  </si>
  <si>
    <t xml:space="preserve">          </t>
  </si>
  <si>
    <t xml:space="preserve">             </t>
  </si>
  <si>
    <t xml:space="preserve">                  </t>
  </si>
  <si>
    <t>1)“ Sprijin pentru ADR SE in vederea implementarii Planului de Comunicare al Programului Operational Regional 2007 – 2013 la nivelul  Regiunii de Dezvoltare Sud- Est in perioada 2011 - 2012”</t>
  </si>
  <si>
    <t>2)“ Sprijin pentru ADR SE in vederea implementarii Planului de Comunicare al Programului Operational Regional 2007 – 2013 la nivelul  Regiunii de Dezvoltare Sud- Est in perioada 2013 - 2015”</t>
  </si>
  <si>
    <t xml:space="preserve">                   </t>
  </si>
  <si>
    <t xml:space="preserve">               </t>
  </si>
  <si>
    <t>ADR Sud Est</t>
  </si>
  <si>
    <t>3 200 000</t>
  </si>
  <si>
    <t>Cheltuieli cu serviciile de  traducere pentru site-ul POR</t>
  </si>
  <si>
    <t>Cheltuieli cu serviciile de intretinere echipamente IT si autoturisme</t>
  </si>
  <si>
    <t>Cheltuieli cu vizite de monitorizare</t>
  </si>
  <si>
    <t xml:space="preserve">Modelare macroeconomică privind impactul instrumentelor structurale </t>
  </si>
  <si>
    <t>Dezvoltarea acestui mecanism va permite identificarea şi monitorizarea intervenţiilor complementare finanţate din diverse surse de finanţare (naţionale/comunitare/alte programe)</t>
  </si>
  <si>
    <t xml:space="preserve">Dezvoltarea unui sistem de management al datelor privind temele orizontale în operaţiunile derulate prin programele operaţionale. </t>
  </si>
  <si>
    <t>Sprijin pentru organizarea şi participarea ACIS la schimburi de experienţă privind IS</t>
  </si>
  <si>
    <t>ACIS</t>
  </si>
  <si>
    <t>Sprijin pentru factorii implicaţi în gestionarea instrumentelor structurale în vederea optimizării sistemului de achiziţii publice</t>
  </si>
  <si>
    <t>ANRMAP</t>
  </si>
  <si>
    <t>Sprijin pentru UCVAP în efectuarea controlului ex-ante aferent procedurilor finanţate din instrumente structurale</t>
  </si>
  <si>
    <t>UCVAP</t>
  </si>
  <si>
    <t>Asigurarea suportului necesar pentru realizarea verificării ex-ante a achiziţiilor publice finanţate din instrumente structurale în vederea consolidării capacităţii de absorbţie a fondurilor structurale şi de coeziune în România, perioada 2007-2013</t>
  </si>
  <si>
    <t xml:space="preserve">Dezvoltarea de instrumente şi modele de planificare strategică teritorială pentru sprijinirea perioadei de programare post 2013  </t>
  </si>
  <si>
    <t>MDRT</t>
  </si>
  <si>
    <t>Poli creştere</t>
  </si>
  <si>
    <t>Structurile de coordonare, gestionare şi control IS</t>
  </si>
  <si>
    <t>Sprijin pentru finanţarea cheltuielilor de personal 01.01.2012 - 30.06.2015</t>
  </si>
  <si>
    <t>DMI 1.2. Evaluare</t>
  </si>
  <si>
    <t>Analiza eficienţei şi eficacităţii practicii, lucrări clarificatoare, studii privind RA şi RIR, instruire privind ACB</t>
  </si>
  <si>
    <t>DMI 1.3. Formare orizontală în domeniul gestionării programelor/proiectelor</t>
  </si>
  <si>
    <t>ACP</t>
  </si>
  <si>
    <t>Obiectivul acestui contract îl reprezintă în instruirea în principal a personalului Autorităţii de Certificare şi Plată (ACP), dar și a personalului altor structuri din cadrul Ministerului Finanţelor Publice implicate în gestionarea și implementarea instrumentelor structurale, în vederea dobândirii unor cunoştinţe aprofundate pentru îndeplinirea atribuţiilor ce decurg din punerea în aplicare a prevederilor regulamentelor comunitare şi a legislaţiei naţionale</t>
  </si>
  <si>
    <r>
      <t xml:space="preserve">Beneficiarul a transmis Caietul de sarcini în data de 07.07.2011 si l-a retransmis în data de 14.07.2011. Documentația de atribuire si  cererea de finanțare au fost aprobate, respectiv depusa cererea de finantare. </t>
    </r>
    <r>
      <rPr>
        <sz val="10"/>
        <color indexed="10"/>
        <rFont val="Arial"/>
        <family val="2"/>
      </rPr>
      <t>Procedura de licitatie a fost lansata in 23.11.2011 si anulata in 22.12.2011. Va fi reluata in 2012.</t>
    </r>
  </si>
  <si>
    <r>
      <t xml:space="preserve">Documentația a fost finalizată și a fost aprobată. Cererea de finanțare a fost depusă in data de 17.08.2011.  </t>
    </r>
    <r>
      <rPr>
        <sz val="10"/>
        <color indexed="10"/>
        <rFont val="Arial"/>
        <family val="2"/>
      </rPr>
      <t>Achiziția a fost lansată în 26.09.2011 și anulată în 12.10.2011. A fost revizuită cererea de finanțare. Achiziția va fi relansată în 2012 după aprobarea cererii de finanțare și elaborarea fișei de buget.</t>
    </r>
  </si>
  <si>
    <r>
      <t xml:space="preserve">A fost finalizat contractul pentru lotul 1 (prima reuniune) și urmează a fi lansată procedura de achiziție pentru lotul 2 (a doua reuniune - luna septembrie). </t>
    </r>
    <r>
      <rPr>
        <sz val="10"/>
        <color indexed="10"/>
        <rFont val="Arial"/>
        <family val="2"/>
      </rPr>
      <t>Pentru lotul 2 procedura a fost finalizata. Contratul a fost semnat in noiembrie 2011, s-a finalizat și s-a efectuat plata finală.</t>
    </r>
  </si>
  <si>
    <r>
      <t>Beneficiarul nu a transmis Caietul de sarcini.</t>
    </r>
    <r>
      <rPr>
        <sz val="10"/>
        <color indexed="10"/>
        <rFont val="Arial"/>
        <family val="2"/>
      </rPr>
      <t xml:space="preserve"> Nu s-a inregistrat nicio evolutie in perioada sep - dec 2011.</t>
    </r>
  </si>
  <si>
    <t>Sistem Informatic Integrat pentru digitizarea si arhivarea documentelor de lucru specifice activităţii Organismului Intermediar pentru IMM, rezultate din procesul de programare, lansare şi  implementare a operaţiunilor din cadrul Axei prioritare 1 a POS CCE</t>
  </si>
  <si>
    <t xml:space="preserve">Serviciu de ajutor in implementarea proeictelor benneficiarilor POS CCCE (help desk pentru Axa 1) </t>
  </si>
  <si>
    <t>urmeaza a se estima</t>
  </si>
  <si>
    <t>Actualizarea evaluării intermediare a Programului Operaţional Regional 2007-2013</t>
  </si>
  <si>
    <t>Promovarea rezultatelor Regio 2012 - 2013 - Realizarea a 7 filmulete de prezentare a proiectelor POR – 30 minute total</t>
  </si>
  <si>
    <t>Promovarea rezultatelor Regio 2012 - 2013 - Achiziţie servicii pentru organizarea de evenimente, de informare şi promovare privind Regio – Programul Operaţional Regional</t>
  </si>
  <si>
    <t>Servicii de evaluare din punct de vedere tehnic şi financiar a cererilor de finanţare depuse pentru Poli de creştere  in cadrul POR</t>
  </si>
  <si>
    <t>Cheltuieli cu Servicii de evaluare tehnica si financiara a cererilor de finantare depuse in cadrul axelor 1-5 POR</t>
  </si>
  <si>
    <t xml:space="preserve">   evaluarea funcţionării prinicpiului orizontal al parteneriatului</t>
  </si>
  <si>
    <t xml:space="preserve">   evaluarea intermediară a POR</t>
  </si>
  <si>
    <t>Servicii sisteme informatice şi programe web (GIS)</t>
  </si>
  <si>
    <t>Cheltuieli cu Servicii de consul tanta tehnica, financiara si juridica</t>
  </si>
  <si>
    <t>5.799.508.48</t>
  </si>
  <si>
    <t xml:space="preserve">Sprijin pentru ADR Nord-Vest în calitate de Organism Intermediar pentru implementarea şi monitorizarea cu profesionalism şi eficienţă a proiectelor finanţate din  POR 2007 - 2013
</t>
  </si>
  <si>
    <r>
      <t>1.</t>
    </r>
    <r>
      <rPr>
        <b/>
        <sz val="9"/>
        <rFont val="Arial"/>
        <family val="2"/>
      </rPr>
      <t xml:space="preserve"> </t>
    </r>
    <r>
      <rPr>
        <sz val="9"/>
        <rFont val="Arial"/>
        <family val="2"/>
      </rPr>
      <t>Sprijin pentru ADR Sud-Vest în calitate de Organism Intermediar</t>
    </r>
  </si>
  <si>
    <t>2. Sprijin pentru ADR Sud-Vest în calitate de Organism Intermediar</t>
  </si>
  <si>
    <t>6 350 000</t>
  </si>
  <si>
    <t xml:space="preserve">Sprijin pentru ADR Vest în calitate de Organism Intermediar pentru implementarea şi monitorizarea cu profesionalism şi eficienţă a proiectelor finanţate din  POR 2007 - 2013
</t>
  </si>
  <si>
    <t xml:space="preserve">. Sprijin pentru ADR Sud Muntenia în calitate de Organism Intermediar pentru implementarea şi monitorizarea cu profesionalism şi eficienţă a proiectelor finanţate din  POR 2007 - 2013
</t>
  </si>
  <si>
    <t xml:space="preserve">3. Sprijin pentru ADR Sud Muntenia în calitate de Organism Intermediar pentru implementarea şi monitorizarea cu profesionalism şi eficienţă a proiectelor finanţate din  POR 2007 - 2013
</t>
  </si>
  <si>
    <t xml:space="preserve">Sprijin pentru ADR Sud Muntenia în calitate de Organism Intermediar pentru implementarea şi monitorizarea cu profesionalism şi eficienţă a proiectelor finanţate din  POR 2007 - 2013
</t>
  </si>
  <si>
    <t xml:space="preserve">Sprijin pentru ADR Centru în calitate de Organism Intermediar pentru implementarea şi monitorizarea cu profesionalism şi eficienţă a proiectelor finanţate din  POR 2007 - 2013
</t>
  </si>
  <si>
    <t xml:space="preserve">Sprijin pentru ADR Nord-Vest în calitate de Organism Intermediar pentru implementarea şi monitorizarea cu profesionalism şi eficienţă a proiectelor finanţate din  POR 2007 - 2013
</t>
  </si>
  <si>
    <t>1. Sprijinirea Organismului Intermediar din cadrul ADR Nord-Est in perioada 2011-2012 pentru implementarea si monitorizare Programului Operational Regional 2007-2013 in Regiunea Nord-Est</t>
  </si>
  <si>
    <t>Sprijinirea Organismului Intermediar din cadrul ADR Nord-Est in perioada 2013-2014 pentru implementarea si monitorizarea Programului Operational Regional 2007-2013 in Regiunea Nord-Est</t>
  </si>
  <si>
    <t>Sprijinirea Organismului Intermediar din cadrul ADR Nord-Est in 2015 pentru implementarea si monitorizarea Programului Operational Regional 2007-2013 in Regiunea Nord-Est</t>
  </si>
  <si>
    <t>1. Sprijin acordat Organismului Intermediar din cadrul ADR Nord-Est in perioada 2011-2012 pentru implementarea cu succes a Planului de comunicare aferent Programului Operational Regional 2007-2013</t>
  </si>
  <si>
    <t>1. Sprijin acordat Organismului Intermediar din cadrul ADR Nord-Est in perioada 2013-2014 pentru implementarea cu succes a Planului de comunicare aferent Programului Operational Regional 2007-2013</t>
  </si>
  <si>
    <t>1. Sprijin acordat Organismului Intermediar din cadrul ADR Nord-Est in 2015 pentru implementarea cu succes a Planului de comunicare aferent Programului Operational Regional 2007-2013</t>
  </si>
  <si>
    <t xml:space="preserve">Propunerea unor viitoare modele de selecţie a proiectelor mai bine orientate pe strategiile de dezvoltare, obiectivele şi indicatorii de program </t>
  </si>
  <si>
    <t xml:space="preserve">Facilitarea comunicării şi colaborării între Autoritatea de Management şi Organismele Intermediare şi încurajarea sprijinului direct şi proactiv pentru beneficiari (analiză funcţională) </t>
  </si>
  <si>
    <t xml:space="preserve">Consolidarea amenajării teritoriului ca o condiţie prealabilă pentru dezvoltarea urbană (analiză funcţională) </t>
  </si>
  <si>
    <t>Total AT POS CCE</t>
  </si>
  <si>
    <t>Proiecte din plan prevazute sa inceapa din/dupa 2012 sau in curs de identificare</t>
  </si>
  <si>
    <t>Programul Operaţional Sectorial Cresterea Competitivităţii Economice</t>
  </si>
  <si>
    <t>Proiectul are ca scop crearea Centrului care va acţiona ca help-desk central, centru de resurse şi call center privind IS.</t>
  </si>
  <si>
    <t>Continuarea proiectului de creare şi dezvoltare a CI.</t>
  </si>
  <si>
    <t>Studiu privind implementarea unei contabilităţi centralizate pentru toate instituţiile responsabile de gestionarea financiară a instrumentelor structurale (eventual pentru perioada următoare de programare)</t>
  </si>
  <si>
    <t>Formarea beneficiarilor în domeniul implementării proiectelor finanţate din Instrumente Structurale</t>
  </si>
  <si>
    <t>Formare continuă a personalului Autorităţii de Certificare şi Plată în vederea gestionării eficiente a Fondurilor Structurale şi de Coeziune</t>
  </si>
  <si>
    <t>Formarea beneficiarilor în domeniul implementării proiectelor finanţate din Instrumente Structurale 2</t>
  </si>
  <si>
    <t>Instruirea personalului AM POST si beneficiarilor POST in domeniul comunicarii</t>
  </si>
  <si>
    <t>Achizitie de echipamente specifice activitatii de comunicare</t>
  </si>
  <si>
    <t>Asistenta tehnica pentru realizarea unei campanii de informare publica la nivel national privind POS-T 2007-2013</t>
  </si>
  <si>
    <t>Consultanta pentru sustinerea Autoritatii de management pentru POS-T in desfasurarea activitatii de monitorizare a implementarii proiectelor POS-T</t>
  </si>
  <si>
    <t>Proiectele au ca scop coordonarea pregătirii şi implementării planurilor integrate de dezvoltare aferente polilor de creştere Iaşi, Braşov, Constanţa, Craiova, Timişoara, Ploieşti şi Cluj prin sprijinirea activităţii coordonatorilor de pol (care îşi desfăşoară activitatea în cadrul ADR) şi a personalului de sprijin al acestora. Proiectele au o durată de 36 luni finalizându-se majoritatea în 2012.</t>
  </si>
  <si>
    <t>Rambursarea costurilor aferente aplicării Legii nr.490/2004 privind stimularea financiară a personalului care gestionează fonduri comunitare, cu modificările şi completările ulterioare pentru personalul implicat în coordonarea, managementul şi controlul Fondurilor Structurale şi de Coeziune - Obiectivul Convergenţă.</t>
  </si>
  <si>
    <t>Sprijinirea în continuare a coordonării pregătirii şi implementării planurilor integrate de dezvoltare aferente polilor de creştere Iaşi, Braşov, Constanţa, Craiova, Timişoara, Ploieşti şi Cluj prin sprijinirea activităţii coordonatorilor de pol (care îşi desfăşoară activitatea în cadrul ADR) şi a personalului de sprijin al acestora.</t>
  </si>
  <si>
    <t>Dezvoltarea capacităţii Autorităţii de Certificare şi Plată în vederea gestionării eficiente a Instrumentelor Structurale şi de Coeziune</t>
  </si>
  <si>
    <t>Sprijin pentru dezvoltarea unei Autorităţi de Audit la standarde europene</t>
  </si>
  <si>
    <t>Continuarea asigurării sprijinului pentru funcţionarea ACIS, inclusiv a AM POAT</t>
  </si>
  <si>
    <t xml:space="preserve">Sprijin pentru funcţionarea ACIS, inclusiv a AM POAT </t>
  </si>
  <si>
    <t>OI POSDRU  CENTRU</t>
  </si>
  <si>
    <t>a) Analiza comparativă a 3-4 modele existente şi stabilirea celui mai potrivit pentru nevoile de evaluare macro-economică 2007-2013, eventual identificarea nevoilor de îmbunătăţire/dezvoltare a modelului existent;
b) Îmbunătăţirea/dezvoltarea modelului ales, actualizarea anuală a datelor şi furnizarea în consecinţă a rezultatelor modelării.</t>
  </si>
  <si>
    <t>Dezvoltarea capacităţii pentru analiza cost-beneficiu</t>
  </si>
  <si>
    <t>Sprijin direct pentru implementarea PO</t>
  </si>
  <si>
    <t>AM POS CCE</t>
  </si>
  <si>
    <t>AM/OI</t>
  </si>
  <si>
    <t xml:space="preserve">Sprijin acordat OI IMM în realizarea activităţilor de monitorizare şi control la fata locului, cu echipe mixte </t>
  </si>
  <si>
    <t xml:space="preserve">Sprijin acordat OI IMM în realizarea activităţii de verificare administrativă a Cererilor de Rambursare </t>
  </si>
  <si>
    <t>Asigurarea serviciilor de poştă şi curierat pentru OI IMM</t>
  </si>
  <si>
    <t>Alte idei de proiecte in curs de identificare</t>
  </si>
  <si>
    <t xml:space="preserve">Crearea unui sistem de informare/comunicare eficient pentru OI IMM </t>
  </si>
  <si>
    <t xml:space="preserve">Îmbunătăţirea dotării tehnice a serviciilor funcţionale din cadrul OI, prin achiziţia de tehnică informatică avansată, mijloace de comunicaţii şi aparatură birotică     </t>
  </si>
  <si>
    <t>OI IMM</t>
  </si>
  <si>
    <t xml:space="preserve">Contractarea experţilor externi pentru procesul de evaluare tehnică şi financiară a  propunerilor de proiecte  depuse în cadrul Axei prioritare 3 a POS CCE aferent apelurilor de proiecte pentru anii 2009 - 2012 </t>
  </si>
  <si>
    <t>Arhivarea fizică şi electronică a documentelor OIPSI***</t>
  </si>
  <si>
    <t xml:space="preserve">Analiza necesităţilor sectorului public şi privat cu privire obiectul şi necesitatea intervenţiei fondurilor structurale în domeniul IT pentru următoarea perioadă de programare </t>
  </si>
  <si>
    <t>Sprijin pentru desfăşurarea activităţilor OIPSI  prin achiziţia de servicii diverse (plata utilitatilor, deplasari interne si externe altele decat cele de control si monitorizare, intretinere, reparatii etc)</t>
  </si>
  <si>
    <t>Achizitia de active fixe, obiecte de inventar, mobilier, furnituri de birou</t>
  </si>
  <si>
    <t xml:space="preserve">Participare la schimburi de experienta cu alte state membre UE </t>
  </si>
  <si>
    <t>Sprijin pentru evaluare şi TI  în cadrul Axei prioritare 3 POS CCE</t>
  </si>
  <si>
    <t>Achizitia de aplicatii informatice pentru OIPSI privind managementul de proiect si controlul implementarii proiectelor**</t>
  </si>
  <si>
    <t>Sprijin pentru comunicare şi informare</t>
  </si>
  <si>
    <t>OIPSI</t>
  </si>
  <si>
    <t>Sprijin pentru desfăşurarea activităţilor OI cercetare prin achiziţia de servicii diverse (plata utilitatilor, deplasari interne si externe, intretinere, reparatii si plata asigurarii autoturismului propriu, inchirieri sedii etc)</t>
  </si>
  <si>
    <t xml:space="preserve">Sustinerea activitatii de verficare la fata locului a proiectelor finantate in cadrul Axei prioritare 2 a POS-CCE, prin achizitia de servicii de control </t>
  </si>
  <si>
    <t xml:space="preserve">Sprijin pentru desfăşurarea activităţilor curente ale OI cercetare prin achizitia de servicii suport (financiar contabile si mentenanta) (2010-2011) </t>
  </si>
  <si>
    <t xml:space="preserve">Training specializat pentru OI Cercetare </t>
  </si>
  <si>
    <t xml:space="preserve">Sprijinirea activităţilor de comunicare/publicitate pentru Axa Prioritară 2 din POS CCE </t>
  </si>
  <si>
    <t>Sprijin pentru dezvoltare in Tehnologia Informatiei pentru OI Cercetare</t>
  </si>
  <si>
    <t>OI Cercetare</t>
  </si>
  <si>
    <t>Contractarea expertilor externi pentru procesul de evaluare tehnica si financiara a proiectelor din cadrul Axei Prioritare 4 a OIE POS-CCE**</t>
  </si>
  <si>
    <t>Achizitie de servicii pentru vizite de monitorizare (experti)</t>
  </si>
  <si>
    <t>Servicii de consultanta juridica pentru OIE</t>
  </si>
  <si>
    <t>Servicii tipografice editare brosuri</t>
  </si>
  <si>
    <t>Asistență tehnică pentru evaluarea Organismelor Intermediare POS Mediu</t>
  </si>
  <si>
    <t>Organizarea reuniunilor CM POS Mediu aferente anului 2011</t>
  </si>
  <si>
    <t>Organizarea reuniunilor CM POS Mediu aferente anului 2012-2015</t>
  </si>
  <si>
    <t>Asigurarea materialelor consumabile, furnituri de birou şi obiecte de inventar necesare desfăşurării activităţii AM şi OI POS Mediu</t>
  </si>
  <si>
    <t>Elaborarea de articole pentru publicaţii de specialitate şi achiziţionarea spaţiilor de publicare (2011-2012)</t>
  </si>
  <si>
    <t>Campanie de promovare a Programului Operaţional Sectorial Mediu - exemple de bune practici, traducere şi difuzare spot radio şi machetă de presă</t>
  </si>
  <si>
    <t>Alte idei de proiecte DMI 1 in curs de identificare</t>
  </si>
  <si>
    <t>Alte idei de proiecte DMI 2. in curs de identificare</t>
  </si>
  <si>
    <t>Achiziţionarea serviciilor de curierat</t>
  </si>
  <si>
    <t xml:space="preserve">Instruire personal din cadrul AM şi OI în domeniul monitorizării și controlului financiar a proiectelor finanţate prin POS Mediu 2007-2013  </t>
  </si>
  <si>
    <t>Auditul Resurselor Umane din cadrul DG AM POS Mediu, implicate în gestionarea proiectelor finanţate din POS Mediu 2007-2013</t>
  </si>
  <si>
    <t>Achiziționarea de servicii de certificare, semnătura electronică</t>
  </si>
  <si>
    <t>Achiziţia de foto-copiatoare digitale multifuncţionale pentru AM şi OI POS Mediu</t>
  </si>
  <si>
    <t>Asigurarea participării personalului AM şi OI POS Mediu la cursuri de instruire specifice</t>
  </si>
  <si>
    <t>Servicii de închiriere autoturisme, cu şofer, folosite în activitatea AM şi OI POS Mediu</t>
  </si>
  <si>
    <t>Organizarea de evenimente de promovare a POS Mediu pentru perioada 2012-2013</t>
  </si>
  <si>
    <t>proiect în pregătire</t>
  </si>
  <si>
    <t>contract în derulare</t>
  </si>
  <si>
    <t>procedură de achiziţie trebuie reluată; la precedenta aprocedură de achiziţie lansată, nu a fost depusă nici o ofertă</t>
  </si>
  <si>
    <t>proiect în derulare (pentru acest proiect nu s-a încheiat contract, decontări pe bază de documente justificative)</t>
  </si>
  <si>
    <t>contract în curs de atribuire</t>
  </si>
  <si>
    <t>contract finalizat</t>
  </si>
  <si>
    <t>proiect în derulare (decontarea cheltuielilor se face pe bază de documente justificative)</t>
  </si>
  <si>
    <t>Servicii de transfer aparate pentru aer condiţionat (mutare/relocare) din sediile AM POS Mediu şi OI POS Mediu Bucureşti</t>
  </si>
  <si>
    <t>Beneficiarul a lansat licitaţia pentru contractul de instruire pe 22.11.2011. Termen de deschidere a ofertelor 04.01.2012.</t>
  </si>
  <si>
    <t>Beneficiarul a lansat licitaţia pentru contractul de instruire pe 13.12.2011. Termen de deschidere a ofertelor 07.02.2012.</t>
  </si>
  <si>
    <t>Evenimente „faţă în faţă” ale OIRPOSDRU Nord Vest”</t>
  </si>
  <si>
    <t>Vizibilitate sporită prin materiale publicitare permanente ale OIRPOSDRU Nord Vest</t>
  </si>
  <si>
    <t>Informaţii electronice de calitate prin servicii de internet asigurate de OIRPOSDRU Nord Vest</t>
  </si>
  <si>
    <t>Promovarea oportunităţilor de finanţare POSDRU şi organizarea sesiunilor de pregatire pentru potenţialii beneficiari şi pentru beneficiari din Regiunea Sud Est în anul 2011</t>
  </si>
  <si>
    <t>Organizarea activităţilor de informare si publicitate la nivelul Regiunii Sud Muntenia în anul 2011</t>
  </si>
  <si>
    <t>Inchiriere imobil pentru functionarea OIRPOSDRU Sud-Est</t>
  </si>
  <si>
    <t>Inchiriere spaţiu si servicii arhivare documente</t>
  </si>
  <si>
    <t xml:space="preserve">Sprijin pentru asigurarea unei capacitati administrative adecvate a OIPOSDRU MECTS pentru implementarea si managementul eficient si eficace al POSDRU, in conformitate cu regulamentele comunitare si legislatia nationala aplicabila. </t>
  </si>
  <si>
    <t>OI POSDRU CNDIPT</t>
  </si>
  <si>
    <t>Asistenta tehnica pentru evaluare, selectie si contractare proiecte in cadrul DMI 2.1 si 2.3 Axa prioritara 2 POSDRU 2007-2013</t>
  </si>
  <si>
    <t>OI POSDRU NORD EST</t>
  </si>
  <si>
    <t>Asigurarea de servicii pentru buna functionare a departamentelor din cadrul OIR POSDR - Regiunea Nord Est, in vederea obtinerii unei capacitati administrative adecvate la nivelul Organismului Intermediar</t>
  </si>
  <si>
    <t>Realizarea unui sistem modern de comunicatii proprii printr-o retea securizata VPN MPLS intre sediul OIR POSDRU NORD-EST si reprezentantele sale judetene</t>
  </si>
  <si>
    <t>Achizitionare materiale consumabile necesare functionarii OIR POSDRU Vest</t>
  </si>
  <si>
    <t>Achizitionare LEGIS  necesar functionarii OIR POSDRU Vest</t>
  </si>
  <si>
    <t>Achizitionare mobilier  necesar functionarii OIR POSDRU Vest</t>
  </si>
  <si>
    <t>Achizitionare  suport tehnic pentru aplicatiile economice SINTEC necesare OIR POSDRU Vest</t>
  </si>
  <si>
    <t>Achizitionare servicii de asistenta tehnica la echipamentele: statii de lucru, servere Linux si Microsoft, imprimante, echipamente multifunctionale, scannere, retea date si echipamente active, centrala telefonica necesare OIR POSDRU VEST</t>
  </si>
  <si>
    <t xml:space="preserve">Cheltuielile OIR POSDRU Vest cu  chiria la spatiul existent. </t>
  </si>
  <si>
    <t>Achizitionare servicii de acces si/sau transmisii de date, servicii de telefonie si internet necesare OIR POSDRU Vest</t>
  </si>
  <si>
    <t>OI POSDRU VEST</t>
  </si>
  <si>
    <t>OI POSDRU  NORD VEST</t>
  </si>
  <si>
    <t>Obiectivul specific îl reprezintă furnizarea cunoştinţelor şi aptitudinilor adecvate pentru beneficiari în managementul proiectelor în contextul Instrumentelor  Structurale.</t>
  </si>
  <si>
    <t>Formarea beneficiarilor în domeniul implementării proiectelor finanţate din Instrumente Structurale 3</t>
  </si>
  <si>
    <t>Sprijin pentru implementarea planului de comunicare ACIS </t>
  </si>
  <si>
    <t>Sondaj de opinie 2</t>
  </si>
  <si>
    <t>Sondaj de opinie 3</t>
  </si>
  <si>
    <t>Dezvoltarea Centrului de Informare privind Instrumentele Structurale</t>
  </si>
  <si>
    <t>Schema de granturi 1</t>
  </si>
  <si>
    <t xml:space="preserve">Scopul proiectului </t>
  </si>
  <si>
    <t>Sprijin pentru finanţarea parţială a cheltuielilor de personal 14.04.2009 - 31.12.2011</t>
  </si>
  <si>
    <t>Sprijin pentru coordonarea implementării Planurilor Integrate de Dezvoltare ale polilor de creştere I</t>
  </si>
  <si>
    <t>Sprijin pentru coordonarea implementării Planurilor Integrate de Dezvoltare ale polilor de creştere II</t>
  </si>
  <si>
    <t>Obiectivul specific al proiectului este de a contribui la îmbunătăţirea calităţii sistemului de indicatori de monitorizare şi evaluare a programelor operaţionale şi a CSNR, prin elaborarea unui ghd privind indicatorii şi diseminarea acestuia în rândul actorilor implicaţi în gestionarea instrumentelor structurale.</t>
  </si>
  <si>
    <t>Elaborarea de ghiduri, metodologii, organizarea de schimburi de experienţă pentru îmbunătăţirea procedurilor de atribuire derulate de beneficiarii de instrumente structurale în cadrul proiectelor finanţate din acestea.</t>
  </si>
  <si>
    <t>Organizarea de către ACIS a schimburilor de experienţă cu State Membre ale UE în vederea identificării de măsuri pentru eficientizarea implementării instrumentelor structurale în România.</t>
  </si>
  <si>
    <t>Îmbunătăţirea statisticilor regionale în contextul pregătirilor pentru viitoarea perioadă de programare.</t>
  </si>
  <si>
    <t>Studii de fundamentare a deciziei privind abordarea regională la nivelul României, post 2013</t>
  </si>
  <si>
    <t>Obiectivul proiectului constă în operarea unei Facilităţi de Asistenţă Tehnică, ca un instrument flexibil şi rapid la îndemâna structurilor de coordonare şi gestionare a instrumentelor structurale pentru:
- rezolvarea urgentă a blocajelor de natură procedurală şi legală legate de implementarea instrumentelor structurale, cu caracter orizontal;
- îmbunătăţirea în general a funcţionării sistemului printr-o serie de analize şi studii care să furnizeze recomandări şi linii directoare comune pentru mai multe programe operaţionale;
- sprijinirea schimbului de experienţă şi bune practici la nivelul întregului sistem;
- sprijinirea beneficiarilor şi a potenţialilor beneficiari în elaborarea/revizuirea unor documentaţii de proiect sau de atribuire.</t>
  </si>
  <si>
    <t xml:space="preserve">Obiectivul acestui proiect a fost de a realiza un studiu care să identifice, să fundamenteze şi să formuleze direcţiile prioritare de reformă a Politicii de Coeziune a Uniunii Europene post-2013 în concordanţă cu nevoile şi priorităţile României, în contextul cadrului economic, social şi de politici european. </t>
  </si>
  <si>
    <t>Furnizarea unei versiuni îmbunătăţite a SMIS-CSNR, rezultată în urma ajustării şi modificării aplicaţiei şi rapoartelor pentru facilitarea introducerii de date în sistem şi pentru adaptarea aplicaţiei şi rapoartelor la noi cerinţe generate de modificările intervenite în procedurile instituţiilor responsabile de gestionarea instrumentelor structurale şi în regulamentele comunitare.</t>
  </si>
  <si>
    <t>Dezvoltarea SMIS pentru următoarea perioadă de programare, în baza noilor regulamente comunitare.</t>
  </si>
  <si>
    <t>Extinderea SMIS-CSNR către potenţialii Beneficiari şi Beneficiari de Instrumente Structurale din România prin dezvoltarea unei aplicaţii conexe, folosind tehnologii web, accesibilă pe internet (MySMIS), care va permite completarea, verificarea, validarea şi transmiterea electronică a cererilor de finanţare, cererilor de rambursare şi a rapoartelor de progres, fiind în acelaşi timp un instrument electronic facil de management şi monitorizare de către Beneficiari a proiectelor lor aprobate.</t>
  </si>
  <si>
    <t>2000 persoane pregătite cu privirea la operarea SMIS-CSNR din cadrul instituţiilor implicate în gestionarea instrumentelor structurale; 90 persoane pregătite în vederea formării iniţiale a viitorilor utilizatori SMIS (training al Coordonatorilor SMIS de la nivel central şi local);25 persoane pregătite în domeniul implementării corespunzătoare a SMIS-CSNR.</t>
  </si>
  <si>
    <t>Organizarea de reuniuni periodice şi seminarii de prezentare a SMIS şi a aplicaţiilor sale conexe (evoluţiile în dezvoltare, proceduri, statistici etc.).</t>
  </si>
  <si>
    <t>Sprijin pentru organizarea de evenimente AM POS CCE</t>
  </si>
  <si>
    <t>Asistenta tehnica pentru AM POS CCE pentru evaluarea modului de implementare a Planului de comunicare al POS CCE</t>
  </si>
  <si>
    <t xml:space="preserve">Achizitie de consumabile, rechizite </t>
  </si>
  <si>
    <t>Achizitia de active fixe, obiecte de inventar, mobilier, furnituri de birou etc</t>
  </si>
  <si>
    <t>Consultanta pentru elaborare de studii, strategii,</t>
  </si>
  <si>
    <t xml:space="preserve">Achizitie de produse promotionale </t>
  </si>
  <si>
    <t xml:space="preserve">Participare la schimburi de experienta </t>
  </si>
  <si>
    <t xml:space="preserve">Sprijin pentru activitatea AM POS CCE prin achizitionarea de consultanta specifica(finaciara, juridica, etc) </t>
  </si>
  <si>
    <t xml:space="preserve">Sprijinirea activităţii AM POS CCE pentru organizarea  anuala a două reuniuni ale Comitetului de Monitorizare a POS -Creşterea Competitivităţii Economice pe o perioada de 5 ani </t>
  </si>
  <si>
    <t xml:space="preserve">Campanie de comunicare  POS CCE </t>
  </si>
  <si>
    <t>Sprijinirea Autoritatii de Management in elaborarea documentatiei si implementarea operatiunii privind polii de competitivitate</t>
  </si>
  <si>
    <t xml:space="preserve">Evaluarea exante a POS CCE si strategica de mediu </t>
  </si>
  <si>
    <t xml:space="preserve">Evaluarea prioritatilor orizontale a POS CCE </t>
  </si>
  <si>
    <t>Vor fi doua contracte de servicii de incheiat in cadrul FAT, fiecare insumand 100.000 Euro.</t>
  </si>
  <si>
    <t>27 evaluări</t>
  </si>
  <si>
    <t xml:space="preserve">În data de 28.10.2011 a fost semnat acordul cadru în valoare de 8.465.725 lei (fără TVA). Până la 31.01.2012 au fost primite si aprobate 4 solicitări, urmând să se lanseze procedurile de licitaţie aferente. Cererile de finantare vor fi depuse la AM POAT pe fiecare contract subsecvent dupa contractare. </t>
  </si>
  <si>
    <t>Sprijin în continuare pentru actualizarea informaţiilor în SMIS-CSNR</t>
  </si>
  <si>
    <t>Furnizarea de instruire specializată pentru personalul AM POR, OI POR şi beneficiari</t>
  </si>
  <si>
    <t>Servicii de instruire specializată pentru dezvoltarea abilităţilor tehnice şi generale pentru personalul din cadrul Autorităţii de Management, Organismelor Intermediare şi instituţiilor beneficiare ale  Programului Operaţional Regional</t>
  </si>
  <si>
    <t>Achiziţie servicii pentru campanie de panotaj stradal pentru promovarea Regio – Programul Operaţional Regional</t>
  </si>
  <si>
    <t>Promovarea rezultatelor Regio 2012 - 2013 - Realizarea tipariturilor si fotografii pentru Regio, a  materialelor promotionale pentru evenimente</t>
  </si>
  <si>
    <t>Promovarea rezultatelor Regio 2012 - 2013 - Achiziţie servicii pentru difuzarea spoturilor radio pentru promovarea Regio – Programul Operaţional Regional</t>
  </si>
  <si>
    <t>Contractare de servicii pentru editarea, tipărirea şi distribuţia revistei Regio</t>
  </si>
  <si>
    <t>Servicii de realizare a 2 sondaje de opinie pentru evaluarea activităţilor aferente campaniei media si a activitatilor de comunicare in general derulate în cursul anului 2011 si 2012</t>
  </si>
  <si>
    <t>Promovarea rezultatelor Regio 2012 - 2013 - Contractare de servicii pentru promovarea Regio – Programul Operaţional Regional pe TV</t>
  </si>
  <si>
    <t xml:space="preserve">Servicii de întreţinere şi dezvoltare web-site www.inforegio.ro </t>
  </si>
  <si>
    <t>Sprijin pentru proiectarea unui sistem de eficienţă energetică (inclusiv audit energetic) a locuinţelor în România</t>
  </si>
  <si>
    <t>Creşterea capacităţii de planificare strategică şi a impactului economic pentru polii urbani de creştere</t>
  </si>
  <si>
    <t>Masuri de constructie a capacitatii institutionale care contribuie la o implementare eficace, eficienta si oportuna a proiectelor prin sustinerea constructiei institutionale si a formarii  profesionale a expertilor locali in vederea implementarii acestor proiecte</t>
  </si>
  <si>
    <t xml:space="preserve">Îmbunatăţirea procesului de planificare teritorială prin realizarea unor serii de studii sectoriale, dezvoltarea unui cadru şi a unor mecanisme de planificare, monitorizare şi implementare care vor asigura baza unei coordonări şi colaborări pe termen lung în ceea ce priveşte formularea politicilor şi priorităţilor naţionale de investiţii, în corelare cu potenţialul terirorial, cu scopul de a contribui la fundamentarea priorităţilor pentru următoarea perioadă de programare a IS. </t>
  </si>
  <si>
    <t>Sprijinirea AM POS Mediu în evaluarea finală a Planului de Comunicare POS Mediu 2007-2013 şi în elaborarea Planului de Comunicare pentru următoarea perioadă de programare</t>
  </si>
  <si>
    <t>Campanie de promovare a POS Mediu 2014-2020</t>
  </si>
  <si>
    <t>Sprijin acordat AM POS Mediu în monitorizarea mass-media</t>
  </si>
  <si>
    <t>Asigurarea serviciilor de arhivare a documentelor, inclusiv închiriere spaţii aferente pentru AM POS Mediu</t>
  </si>
  <si>
    <t xml:space="preserve">Sprijin AM și OI POS Mediu pentru planificarea strategică a perioadei de programare 2014 - 2020 </t>
  </si>
  <si>
    <t xml:space="preserve">Sprijin privind managementul fondurilor structurale şi de coeziune prin calificări relevante în domeniul financiar - contabil, schimburi şi abordare integrată de bune practici </t>
  </si>
  <si>
    <t xml:space="preserve">Asistenţă Tehnică pentru asigurarea serviciilor de consultanţă financiară, contabilă şi fiscală pentru POS Mediu </t>
  </si>
  <si>
    <t>Dotarea cu mobilier suplimentar necesar derulării în condiţii optime a activităţii la sediile AM şi OI POS Mediu</t>
  </si>
  <si>
    <t>Dotarea cu echipamente IT</t>
  </si>
  <si>
    <t>Sprijin pentru Direcţia Asistenţă Tehnică din cadrul AM POS Mediu in procesul de gestionare a proiectelor finanţate din Axa Prioritară 6 POS Mediu</t>
  </si>
  <si>
    <t>Asigurarea materialelor si componentelor necesare bunei functionari a copiatoarelor</t>
  </si>
  <si>
    <t>Servicii de comunicatii pentru OIR POSDRU Regiunea Centru - conexiune de voce si transmisii</t>
  </si>
  <si>
    <t>Inchiriere spatiu (cladire existenta si terenul aferent) necesare bunei functionari a OIR POSDRU Regiunea Centru</t>
  </si>
  <si>
    <t>Utilarea spatiului necesar desfasurarii activitatilor de monitorizare a proiectelor finantate</t>
  </si>
  <si>
    <t>OI POSDRU  SUD VEST OLTENIA</t>
  </si>
  <si>
    <t>X</t>
  </si>
  <si>
    <t>OI POSDRU  ANOFM</t>
  </si>
  <si>
    <t xml:space="preserve">OI POSDRU  SUD EST </t>
  </si>
  <si>
    <t>Inchiriere spatiu - OIPOSDRU MECTS</t>
  </si>
  <si>
    <t>Informare publicitate - OIPOSDRU MECTS</t>
  </si>
  <si>
    <t>OI POSDRU  SUD MUNTENIA</t>
  </si>
  <si>
    <t>Utilarea spaţiului necesar desfăşurării activităţilor de monitorizare a proiectelor finanţate din FSE.</t>
  </si>
  <si>
    <t>AM POS DRU</t>
  </si>
  <si>
    <t>Organizarea Comitetelor de Monitorizare POSDRU 2007-2013 în anul 2010</t>
  </si>
  <si>
    <t>Servicii de comunicaţii pentru AMPOSDRU - conexiune de voce şi transmisii de date de tip MPLS de minim 50 Mbps prin fibră optică</t>
  </si>
  <si>
    <t>Organizarea reuniunii extraordinare a Comitetului de Monitorizare pentru POS DRU 2007-2013</t>
  </si>
  <si>
    <t>Organizarea Comitetelor de Monitorizare POSDRU 2007-2013 în anii 2011, 2012, 2013.</t>
  </si>
  <si>
    <t>Conferinta “Green Jobs for Green Economy”</t>
  </si>
  <si>
    <t>Servicii de comunicaţii pentru AMPOSDRU - conexiune de voce şi
transmisii de date de tip MPLS de minim 50 Mbps prin fibră optică, proiect anual 2011-2013</t>
  </si>
  <si>
    <t>Actualizarea paginii de internet în vederea îmbunătăţirii informării şi promovării POSDRU 2007-2013</t>
  </si>
  <si>
    <t>Realizarea unui film de informare şi promovare a obiectivelor şi
operaţiunilor POSDRU 2007-2013 în rândul grupurilor ţintă</t>
  </si>
  <si>
    <t>AM POSDRU</t>
  </si>
  <si>
    <t>Platforma de lucru comuna pentru Organismele Intermediare</t>
  </si>
  <si>
    <t>Asigurarea functionarii Ble call</t>
  </si>
  <si>
    <t>UCE / ACIS</t>
  </si>
  <si>
    <t>DAT / ACIS</t>
  </si>
  <si>
    <t>DM / ACIS</t>
  </si>
  <si>
    <t>DCS / ACIS</t>
  </si>
  <si>
    <t xml:space="preserve">Achizitia de echipamente tehnica de calcul       </t>
  </si>
  <si>
    <t>Sprijin pentru desfăşurarea activităţilor AM prin achiziţia de servicii diverse (deplasari interne si externe, curierat, intretinere, reparatii si plata asigurarii autoturismului propriu,  etc)</t>
  </si>
  <si>
    <t xml:space="preserve">A doua evaluare intermediara a POS CCE </t>
  </si>
  <si>
    <t>Continuarea asigurării sprijinului pentru dezvoltarea unei Autorităţi de Audit la standarde europene</t>
  </si>
  <si>
    <t>Obiectivul proiectului constă în sprijinirea funcţionării Autorităţii pentru Coordonarea Instrumentelor Structurale şi a Autorităţii de Management pentru POAT prin furnizarea de asistenţă tehnică şi logistică necesară, precum şi prin acoperirea cheltuielilor administrative.</t>
  </si>
  <si>
    <t>AM POR</t>
  </si>
  <si>
    <t>Beneficiar</t>
  </si>
  <si>
    <t>Valoarea totală eligibilă (euro)</t>
  </si>
  <si>
    <t>Axa prioritară 1: Sprijin pentru implementarea instrumentelor structurale şi coordonarea programelor</t>
  </si>
  <si>
    <t>DMI 1.1. Sprijin pentru managementul şi implementarea instrumentelor structurale</t>
  </si>
  <si>
    <t>Finalizat</t>
  </si>
  <si>
    <t xml:space="preserve">Analizarea cadrului naţional privind investiţiile din perspectiva impactului asupra pregătirii şi implementării proiectelor finanţate din instrumente structurale (Banca Mondială)
</t>
  </si>
  <si>
    <t xml:space="preserve">Analizarea cadrului naţional privind investiţiile din perspectiva impactului asupra pregătirii şi implementării proiectelor finanţate din Fondurile Structurale şi de Coeziune. Prin acest proiect se are în vedere formularea unor propuneri de simplificare a legislaţiei naţionale orizontale cu impact asupra pregătirii şi implementării proiectelor finanţate din Fondurile Structurale şi de Coeziune, facilitând astfel absorbţia acestor fonduri. Prin acest proiect se va implementa Măsura 5.1 din Planul de Măsuri Prioritare pentru consolidarea capacităţii de absorbţie a Fondurilor Structurale şi de Coeziune. </t>
  </si>
  <si>
    <r>
      <t>Elaborarea CSNR</t>
    </r>
    <r>
      <rPr>
        <i/>
        <sz val="10"/>
        <color indexed="57"/>
        <rFont val="Arial"/>
        <family val="2"/>
      </rPr>
      <t xml:space="preserve"> </t>
    </r>
    <r>
      <rPr>
        <sz val="10"/>
        <color indexed="57"/>
        <rFont val="Arial"/>
        <family val="2"/>
      </rPr>
      <t>2014-2020, inclusiv coordonarea cu elaborarea celorlalte programe subsecvente CSNR, complementaritatea investiţiilor, asistenţă în negocierile cu CE şi integrarea observaţiilor primite de la CE.</t>
    </r>
  </si>
  <si>
    <t>in pregatire</t>
  </si>
  <si>
    <t>Servicii pentru campania de promovare a rezultatelor proiectelor finantate prin Axa 2 a POS-CCE</t>
  </si>
  <si>
    <t xml:space="preserve"> Contractarea  expertilor externi pentru evaluarea propunerilor de proiecte Axa 4 pentru anii 2011/2012 </t>
  </si>
  <si>
    <t>contract in derulare</t>
  </si>
  <si>
    <t>proiect in curs de pregatire</t>
  </si>
  <si>
    <t>Servicii pentru organizarea Comitetelor de selectie OIE</t>
  </si>
  <si>
    <t xml:space="preserve">Inchiriere mijloace auto OIE </t>
  </si>
  <si>
    <t xml:space="preserve">in curs de pregatire </t>
  </si>
  <si>
    <t>Achizitia de servicii de management financiar si control pentru OIE</t>
  </si>
  <si>
    <t>contract in implementare</t>
  </si>
  <si>
    <t>nelansat propunere FAT</t>
  </si>
  <si>
    <t>proiect in implementare</t>
  </si>
  <si>
    <t>in implementare pentru unele componente</t>
  </si>
  <si>
    <t>Proiecte care încep implementarea în 2011</t>
  </si>
  <si>
    <t>Proiecte din plan prevazute sa inceapa din/dupa 2012</t>
  </si>
  <si>
    <t xml:space="preserve">Subtotal </t>
  </si>
  <si>
    <t>Servicii de training specializat  pentru AM POS CCE</t>
  </si>
  <si>
    <t>Servicii pentru evaluarea proiectelor pentru al treilea apel de proiecte operatiunea Intreprinderi Mari</t>
  </si>
  <si>
    <t>Campanie de constientizare (seminarii pentru potentialii beneficiari/beneficiari, materiale promotionale, etc.)</t>
  </si>
  <si>
    <t>Evaluarea AP2 (DMI 2.3), AP3, AP4, AP5 şi AP6</t>
  </si>
  <si>
    <t>Evaluarea intermediară a POSDRU</t>
  </si>
  <si>
    <t>Evaluarea ex-ante a POSDRU pentru următoarea perioadă de programare</t>
  </si>
  <si>
    <t>Evaluarea AP1 şi AP2 (DMI 2.1 şi DMI 2.2)</t>
  </si>
  <si>
    <t>Evaluări ad-hoc - in functie de nevoile identificate de AMPOSDRU</t>
  </si>
  <si>
    <t>Activităţi pentru dezvoltarea capacităţii administrative in domeniul evaluării de program</t>
  </si>
  <si>
    <t xml:space="preserve">Sprijin pentru AMPOSDRU in vederea organizarii misiunilor de verificare ale AM POS DRU a functiilor delegate OI Regionale </t>
  </si>
  <si>
    <t>Sprijin pentru AM si OIR in procesul de evaluare intermediara POS DRU</t>
  </si>
  <si>
    <t>Închiriere imobil necesar funcţionării DG AMPOSDRU şi DCFSE din cadrul MMFPS</t>
  </si>
  <si>
    <t>Sprijin pentru OIR POS DRU REGIUNEA NORD EST in vederea realizarii verificarilor de management pentru operatiunile finantate in cadrul POSDRU si indeplinirea altor atributii conform Acordului de Delegare</t>
  </si>
  <si>
    <t xml:space="preserve">Inchiriere mobil (cladire existenta si terenul aferent) necesar functionarii OIR POSDRU- NORD EST </t>
  </si>
  <si>
    <t>Sprijin pentru OIR POS DRU ANOFM  pentru implementarea activităţilor de informare si publicitate prevazute in Planul Anual de Comunicare POS DRU</t>
  </si>
  <si>
    <t xml:space="preserve">Asigurarea materialelor si componentelor necesare bunei functionari a copiatoarelor, imprimantelor si multifunctionalelor de retea din cadrul AMPOSDRU </t>
  </si>
  <si>
    <t xml:space="preserve">Asigurarea echipamentelor TIC (altele decat SMIS) si a echipamentelor de birou, necesare intaririi si imbunatatirii resurselor tehnice si echipamentelor folosite de personalul din cadrul OIR POSDRU - Regiunea Nord Est </t>
  </si>
  <si>
    <t xml:space="preserve">Asigurarea materialelor si componentelor necesare bunei functionari a echipamentelor de calcul , copiatoarelor, imprimantelor si multifunctionalelor din cadrul OIR POSDRU- Nord-Est </t>
  </si>
  <si>
    <t xml:space="preserve">Cheltuieli de deplasare, cazare si achizitionare BCF-uri necesare deplasarilor cu masinile institutiei </t>
  </si>
  <si>
    <t>Asigurarea echipamentelor necesare bunei funcţionări a  OIPOSDRU Regiunea Nord Vest</t>
  </si>
  <si>
    <t xml:space="preserve">Asigurarea materialelor şi componentelor necesare bunei funcţionări a copiatorelor, imprimantelor şi multifuncţionalelor de reţea din cadrul OIRPOSDRU regiunea Nord Vest </t>
  </si>
  <si>
    <t>Asigurarea mobilierului necesar bunei funcţionări a  OIPOSDRU Regiunea Nord Vest</t>
  </si>
  <si>
    <t>Asigurarea serviciilor de cazare a  si transportului necesar îndeplinirea atribuţiilor în domeniul managementului general, al implementării şi evaluării POS DRU</t>
  </si>
  <si>
    <t>Închiriere imobil (clădire existentă şi terenul aferent ) necesar funcţionării OI POS DRU - Regiunea Nord Vest</t>
  </si>
  <si>
    <t>Asigurarea combustibilului si a asigurarii autoturismelor proprii necesar eîndeplinirea atribuţiilor în domeniul managementului general, al implementării şi evaluării POS DRU</t>
  </si>
  <si>
    <t xml:space="preserve">Inchiriere imobil si servicii arhivare documente  </t>
  </si>
  <si>
    <t xml:space="preserve">Exploatare in conditii de siguranta*   </t>
  </si>
  <si>
    <t xml:space="preserve">*Pentru aceste proiecte, se intentioneaza accesarea finantarii nerambursabile in fiecare an/2 ani, cu eventualele ajustari necesare.   </t>
  </si>
  <si>
    <t xml:space="preserve">Sistem Informatic Integrat de Management (SIM-POSDRU) </t>
  </si>
  <si>
    <t>Servicii de asistenta tehnica la echipamentele: statii de lucru, servere Linux si Microsoft, imprimante, echipamente multifunctionale, scannere, retea date si comunicatie , echipamente active, centrala telefonica*</t>
  </si>
  <si>
    <t>Îmbunătăţirea aplicaţiei şi procedurii Help-Desk SMIS-CSNR si furnizarea de asistenţă utilizatorilor SMIS-CSNR şi verificarea periodică a corectitudinii datelor introduse în sistem</t>
  </si>
  <si>
    <t>Beneficiarul preconizeaza lansarea licitatiei in martie 2012.</t>
  </si>
  <si>
    <t>Analiza nevoilor de formare; Instruirea continuă a personalului din cadrul instituţiilor cu atribuţii în gestionarea instrumentelor structurale, a Coordonatorilor SMIS de la nivel central şi local, precum şi al altor instituţii, la cererea beneficiarului; Organizarea unor sesiuni de coaching, la cererea expresă a Beneficiarului</t>
  </si>
  <si>
    <t xml:space="preserve">Beneficiarul estimeaza lansarea licitatiei contractului "Asigurarea funcţionării SMIS – CSNR în parametri optimi" care are 3 componente (DMI 2.1., DMI 2.2 si DMI 2.3), pentru luna februarie 2012 . Una din cele 3 componente vizeaza Menţinerea unei comunităţi eficiente şi profesioniste de utilizatori SMIS-CSNR 2011-2013. </t>
  </si>
  <si>
    <t>Contract de achizitie publica semnat la data de 27.01.2012.</t>
  </si>
  <si>
    <t>Suport licenţe</t>
  </si>
  <si>
    <t>Achiziţie suport Oracle şi licenţe şi suport sisteme de operare</t>
  </si>
  <si>
    <t xml:space="preserve">Acord cadru in implementare, semnat la 15.07.2010. Pana la 31.01.2012 au fost semnate 4 contracte subsecvente. </t>
  </si>
  <si>
    <t>Asigurarea comunicaţiilor pentru instituţiile utilizatoare ale sistemului informatic SMIS-CSNR 2012-2015</t>
  </si>
  <si>
    <t>ADR - BI; PO DCA; ADR Centru</t>
  </si>
  <si>
    <t xml:space="preserve">Calculatoare şi multifuncţionale achiziţionate pentru funcţionarea SMIS </t>
  </si>
  <si>
    <t>Proiecte finalizate</t>
  </si>
  <si>
    <t>Asigurarea de echipamente pentru utilizarea SMIS pentru ADR SE, ADR Sud Muntenia, ANCS, OIR POS DRU SE, NE, SV Oltenia, NV si Centru</t>
  </si>
  <si>
    <t>Au fost primite proiecte pentru echipamente SMIS de la AM PODCA, ADR BI, Centru, SE şi Sud Munteani, OIR POS DRU SE, NE, SV, NE şi Centru, ANCS care sunt in implementare.</t>
  </si>
  <si>
    <t>In cadrul acestui proiect au fost derulate contracte de achizitie pentru care au fost autorizate cheltuieli eligibile in valoare eligibila de 437.000 euro.</t>
  </si>
  <si>
    <t>ANCPI</t>
  </si>
  <si>
    <t>SGG</t>
  </si>
  <si>
    <t>Acord cadru pentru evaluarea ex-ante a documentelor programatice</t>
  </si>
  <si>
    <t>Proiectul fost prelungit până la 31.12.2013 (iniţial  finalizarea era preconizată pentru 28.02.2012) si i-a fost marit bugetul FEDR de la 1.749.800 euro la 2.794.573 euro. Până la 31.01.2011 cheltuielile autorizare erau în valoare de 401.250 euro (14%). In cadrul proiectului s-a derulat: un contract de consultanta in valoare eligibila de 1.046.000 euro (urmează să se încheie financiar), un contract de achiziţie echipamente in val eligibila 136.500 euro, este în derulare un contract de achiziţie materiale consumabile  57.000 euro si sunt planificate pentru lansarea achiziţiei: un contract consultanta in achiziţii în valoare144.100 euro - lansare februarie 2012, consultanta ACP in valoare 1.140.000 euro - lansare mai 2012, achizitie mobilier si consumabille (107.000 euro)</t>
  </si>
  <si>
    <t>Furnizarea de expertiză şi consultanţă de specialitate, organizarea reuniunilor Grupului de Lucru SMIS-CSNR, participarea la instruiri tehnice de specialitate.</t>
  </si>
  <si>
    <t>Organizarea de reuniuni şi seminarii de prezentare către publicul larg, materiale promoţionale.</t>
  </si>
  <si>
    <t>Colocare site secundar.</t>
  </si>
  <si>
    <t>Accesarea SMIS-CSNR la parametrii tehnici optimi de către toate instituţiile implicate în gestionarea instrumentelor structurale.</t>
  </si>
  <si>
    <t>Asigurarea comunicaţiilor pentru instituţiile utilizatoare ale sistemului informatic SMIS-CSNR</t>
  </si>
  <si>
    <t>Proiectul a vizat mentenanţa şi dezvoltarea paginilor de web www.fonduri-ue.ro şi www.poat.ro, organizarea de evenimente, tipărirea broşurii de AT, crearea şi difuzarea de spoturi media şi realizarea de sondaje.</t>
  </si>
  <si>
    <t>Campanie de comunicare integrată 1</t>
  </si>
  <si>
    <t>Dezvoltarea şi mentenanţa paginii de web www.fonduri-ue.ro.</t>
  </si>
  <si>
    <t>Campanie de comunicare integrată 2</t>
  </si>
  <si>
    <t>Va fi concepută ţinând cont de rezultatele campaniei 1.</t>
  </si>
  <si>
    <r>
      <t xml:space="preserve">Procedura a fost lansată în data de 01.08.2011 prin transmiterea de invitații și publicarea documentației si a invitației de participare pe site-ul www.ampost.ro . Termenul limita pentru depunerea ofertelor a fost  16.08.2011, ora 10:00. Deschiderea ofertelor a avut loc în data de 16.08.2011, o singură ofertă a fost depusă. În prezent are loc evaluarea ofertelor. Oferta depusa a fost declarata inacceptabila, procedura a fost relansata cu deschidere pe 19.09.2011.  Cererea de finanțare a fost depusă în data de 11.08.2011. </t>
    </r>
    <r>
      <rPr>
        <sz val="10"/>
        <color indexed="10"/>
        <rFont val="Arial"/>
        <family val="2"/>
      </rPr>
      <t>Contractul a fost semnat in data de 16.11.2011.</t>
    </r>
  </si>
  <si>
    <r>
      <t>Documentația de atribuire este finalizată.  Proiectul are fila de buget. Invitația de participare a fost transmisă spre publicare în SEAP în data de 13.07.2011. Data limita pentru depunerea ofertelor a fost 01.08.2011. A fost depusă o singură ofertă. În data de 19.08.2011 a fost aprobat raportul procedurii de atribuire și a fost informat ofertantul câștigător.
Cererea de finanțare a fost depusă în data de 22.07.2011.</t>
    </r>
    <r>
      <rPr>
        <sz val="10"/>
        <color indexed="10"/>
        <rFont val="Arial"/>
        <family val="2"/>
      </rPr>
      <t xml:space="preserve"> Contractul a fost semnat in data de 15.09.2011, s-a finalizat și s-a efectuat plata finală.</t>
    </r>
  </si>
  <si>
    <r>
      <t xml:space="preserve">Invitația de participare a fost publicată în SEAP în data de 22.07.2011. Au fost solicitate clarificari, iar raspunsurile au fost publicate în SEAP și pe site-ul AM POST. Deschiderea ofertelor a avut loc în data de 04.08.2011. Au fost depuse 3 oferte. În prezent are loc evaluarea ofertelor. S-a solicitat prelungirea perioadei de evaluare cu max. 10 zile. Cererea de finantare a fost depusa in data de 20.07.2011. </t>
    </r>
    <r>
      <rPr>
        <sz val="10"/>
        <color indexed="10"/>
        <rFont val="Arial"/>
        <family val="2"/>
      </rPr>
      <t xml:space="preserve">În data de 31.08.2011 a fost întocmit Raportul procedurii de atribuire și înaintat spre aprobare.  Raportul a fost respins de autoritatea contractantă și s-a reluat evaluarea. Noua comisie de evaluare a refăcut raportul procedurii cu hotărârea de anulare a procedurii. Ofertanții au fost informați în data de 21.09.2011. În data de 26.09.2011, autoritatea contractanta a luat la cunoștinață faptul ca a fost depusă o contestatie la CNSC . In urma reevaluarii, procedura a fost anulata. </t>
    </r>
    <r>
      <rPr>
        <sz val="10"/>
        <color indexed="10"/>
        <rFont val="Arial"/>
        <family val="2"/>
      </rPr>
      <t>Proiectul va fi relansat in 2012</t>
    </r>
  </si>
  <si>
    <t>DAP / ACIS</t>
  </si>
  <si>
    <t>Servicii organizare intalniri de lucru CM</t>
  </si>
  <si>
    <t>Servicii organizare intalniri de lucru la sediul AM</t>
  </si>
  <si>
    <t>Participari intalniri, grupuri de lucru, semnare contracte, întâlniri mass media la sediul AM - OI</t>
  </si>
  <si>
    <t>Cheltuieli cu organizarea de întâlniri de lucru privind implementarea POR (AM/OI)</t>
  </si>
  <si>
    <t>Cheltuieli achizitie programe informatice</t>
  </si>
  <si>
    <t>Suma estimata (Euro)</t>
  </si>
  <si>
    <t>Asistenta Tehnica pentru crearea unui pipeline de proiecte finantabile in cadrului DMI "Reabilitarea siturilor industriale poluate si neuitilizate si pregatirea lor pentru noi activitati</t>
  </si>
  <si>
    <t>AM</t>
  </si>
  <si>
    <t>Contractul de finantare cu ADR SV a fost incheiat in data de 27.06.2011, fiind in valoare de 2.608.525,30 Euro. Suma contractata excede estimarea deoarece AM POR a recalculat alocarile pentru fiecare OI</t>
  </si>
  <si>
    <t>Contractul de finantare cu ADR Centru a fost incheiat in data de 20.06.2011, fiind in valoare de 3.070.691,66 Euro. Suma contractata excede estimarea deoarece AM POR a recalculat alocarile pentru fiecare OI</t>
  </si>
  <si>
    <t>Contractul de finantare cu ADR Centru a fost incheiat in data de 30.06.2011, fiind in valoare de 210.500,24 Euro.</t>
  </si>
  <si>
    <t>Contractul de finantare cu ADR SE a fost incheiat in data de 28.06.2011, fiind in valoare de 3.752.557 Euro. Suma contractata excede estimarea deoarece AM POR a recalculat alocarile pentru fiecare OI</t>
  </si>
  <si>
    <r>
      <t xml:space="preserve">1. </t>
    </r>
    <r>
      <rPr>
        <b/>
        <sz val="9"/>
        <rFont val="Arial"/>
        <family val="2"/>
      </rPr>
      <t>“</t>
    </r>
    <r>
      <rPr>
        <sz val="9"/>
        <rFont val="Arial"/>
        <family val="2"/>
      </rPr>
      <t>SPRIJIN PENTRU ORGANISMUL INTERMEDIAR – DIRECŢIA GESTIONARE FONDURI COMUNITARE PENTRU TURISM ÎN VEDEREA IMPLEMENTĂRII PROGRAMULUI OPERAŢIONAL REGIONAL 2007-2013</t>
    </r>
    <r>
      <rPr>
        <b/>
        <sz val="9"/>
        <rFont val="Arial"/>
        <family val="2"/>
      </rPr>
      <t>”</t>
    </r>
  </si>
  <si>
    <r>
      <t xml:space="preserve">2. </t>
    </r>
    <r>
      <rPr>
        <b/>
        <sz val="9"/>
        <rFont val="Arial"/>
        <family val="2"/>
      </rPr>
      <t>“</t>
    </r>
    <r>
      <rPr>
        <sz val="9"/>
        <rFont val="Arial"/>
        <family val="2"/>
      </rPr>
      <t>SPRIJIN PENTRU ORGANISMUL INTERMEDIAR – DIRECŢIA GESTIONARE FONDURI COMUNITARE PENTRU TURISM ÎN VEDEREA IMPLEMENTĂRII PROGRAMULUI OPERAŢIONAL REGIONAL 2007-2013</t>
    </r>
    <r>
      <rPr>
        <b/>
        <sz val="9"/>
        <rFont val="Arial"/>
        <family val="2"/>
      </rPr>
      <t>”</t>
    </r>
  </si>
  <si>
    <r>
      <t>3.</t>
    </r>
    <r>
      <rPr>
        <b/>
        <sz val="9"/>
        <rFont val="Arial"/>
        <family val="2"/>
      </rPr>
      <t>“</t>
    </r>
    <r>
      <rPr>
        <sz val="9"/>
        <rFont val="Arial"/>
        <family val="2"/>
      </rPr>
      <t>SPRIJIN PENTRU ORGANISMUL INTERMEDIAR – DIRECŢIA GESTIONARE FONDURI COMUNITARE PENTRU TURISM ÎN VEDEREA IMPLEMENTĂRII PROGRAMULUI OPERAŢIONAL REGIONAL 2007-2013</t>
    </r>
    <r>
      <rPr>
        <b/>
        <sz val="9"/>
        <rFont val="Arial"/>
        <family val="2"/>
      </rPr>
      <t>”</t>
    </r>
  </si>
  <si>
    <t>OI Energie</t>
  </si>
  <si>
    <t>Alte idei de proiecte oe DMI 5.1. in curs de identificare</t>
  </si>
  <si>
    <t>Alte idei de proiectepe DMI 5.2. in curs de identificare</t>
  </si>
  <si>
    <t xml:space="preserve">Informare si publicitate </t>
  </si>
  <si>
    <t xml:space="preserve">Achizitii consultanta pentru evaluarea eficientei FEI in implementarea JEREMIE </t>
  </si>
  <si>
    <t>Subtotal informare si publicitate</t>
  </si>
  <si>
    <t>OI energie</t>
  </si>
  <si>
    <t>Sprijin oferit actorilor implicati în sistemul de management si control al fondurilor structurale pentru analizarea procedurilor interne de lucru si crearea unor portofolii de proiecte</t>
  </si>
  <si>
    <t>Realizarea unui plan de utilizare eficienta si rapida a resurselor de asistenta tehnica disponibile, în stransa corelatie cu nevoile si limitarile aparatului de gestiune a Fondurilor Structurale în România, în vederea cresterii semnificative a eficientei si vitezei de absorbtie a Fondurilor Structurale alocate în perioada de programare 2007 – 2013. 
Proiectul vizeaza un plan de masuri si actiuni având ca scop cresterea semnificativa a eficientei si vitezei de absorbtie a Fondurilor Structurale alocate în perioada de programare 2007 – 2013. Prin proiect se doreste ca pornind de la limitarile identificate în procesul de absorbtie la nivelul fiecarei entitati din grupul tinta, sa se genereze solutii prin folosirea eficienta a resurselor de asistenta tehnica disponibile.</t>
  </si>
  <si>
    <t>Achizitie lansata in decembrie 2011. Termen de primire a ofertelor 14.02.2012.</t>
  </si>
  <si>
    <t>Achiziţie echipament şi aplicaţie pentru monitorizarea securităţii reţelei IT din cadrul AM şi OI POS Mediu</t>
  </si>
  <si>
    <t xml:space="preserve">Achiziţie echipament de telecomunicaţie pentru extindere centrală de telefonie fixă existentă </t>
  </si>
  <si>
    <t>Instruirea în domeniul managementului riscului pentru AM şi OI POS Mediu</t>
  </si>
  <si>
    <t>Organizarea întâlnirilor de lucru pentru prezentarea ghidurilor referitoare la evaluarea impactului asupra mediului în contextul proiectelor finanţate prin POS Mediu</t>
  </si>
  <si>
    <t xml:space="preserve">Întreţinere şi reparare echipamente informatice, de comunicaţii şi periferice de calcul, întreţinere, actualizare şi dezvoltare aplicaţii informatice contractate  </t>
  </si>
  <si>
    <t xml:space="preserve">Asigurarea chiriilor spaţiilor AM şi OI </t>
  </si>
  <si>
    <t>Achiziţia serviciilor de întreţinere a sediilor AM şi OI POS Mediu</t>
  </si>
  <si>
    <t>Asigurarea cheltuielilor cu carburanţii şi cu lubrifianţii pentru mijloacele de transport aflate în dotarea celor 8 OI POS Mediu</t>
  </si>
  <si>
    <t>Cheltuieli cu asigurarea mijloacelor de transport aflate în dotarea celor 8 OI POS Mediu</t>
  </si>
  <si>
    <t>Dezvoltarea unui sistem pentru monitorizarea temelor orizontale în operaţiunile derulate prin programele operaţionale</t>
  </si>
  <si>
    <t>sem  2 2013</t>
  </si>
  <si>
    <t>sem  1 2012</t>
  </si>
  <si>
    <t>sem  1 2014</t>
  </si>
  <si>
    <t>sem  2 2015</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</si>
</sst>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 _l_e_i_-;\-* #,##0\ _l_e_i_-;_-* &quot;-&quot;??\ _l_e_i_-;_-@_-"/>
    <numFmt numFmtId="173" formatCode="0.000"/>
    <numFmt numFmtId="174" formatCode="#,##0_ ;[Red]\-#,##0\ "/>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0000\ _l_e_i_-;\-* #,##0.0000\ _l_e_i_-;_-* &quot;-&quot;??\ _l_e_i_-;_-@_-"/>
    <numFmt numFmtId="188" formatCode="_-* #,##0.0\ _l_e_i_-;\-* #,##0.0\ _l_e_i_-;_-* &quot;-&quot;??\ _l_e_i_-;_-@_-"/>
    <numFmt numFmtId="189" formatCode="#,##0.0"/>
    <numFmt numFmtId="190" formatCode="_-* #,##0\ _L_e_i_-;\-* #,##0\ _L_e_i_-;_-* &quot;-&quot;\ _L_e_i_-;_-@_-"/>
    <numFmt numFmtId="191" formatCode="_-* #,##0.00\ _L_e_i_-;\-* #,##0.00\ _L_e_i_-;_-* &quot;-&quot;??\ _L_e_i_-;_-@_-"/>
    <numFmt numFmtId="192" formatCode="_-* #,##0.000\ _l_e_i_-;\-* #,##0.000\ _l_e_i_-;_-* &quot;-&quot;??\ _l_e_i_-;_-@_-"/>
    <numFmt numFmtId="193" formatCode="0.0"/>
    <numFmt numFmtId="194" formatCode="#,##0.000"/>
    <numFmt numFmtId="195" formatCode="#,##0.0000"/>
    <numFmt numFmtId="196" formatCode="0.0000"/>
    <numFmt numFmtId="197" formatCode="0.00000"/>
    <numFmt numFmtId="198" formatCode="&quot;Da&quot;;&quot;Da&quot;;&quot;Nu&quot;"/>
    <numFmt numFmtId="199" formatCode="&quot;Adevărat&quot;;&quot;Adevărat&quot;;&quot;Fals&quot;"/>
    <numFmt numFmtId="200" formatCode="&quot;Activat&quot;;&quot;Activat&quot;;&quot;Dezactivat&quot;"/>
    <numFmt numFmtId="201" formatCode="0.0%"/>
    <numFmt numFmtId="202" formatCode="_(* #,##0.0_);_(* \(#,##0.0\);_(* &quot;-&quot;?_);_(@_)"/>
    <numFmt numFmtId="203" formatCode="_(* #,##0_);_(* \(#,##0\);_(* &quot;-&quot;??_);_(@_)"/>
    <numFmt numFmtId="204" formatCode="#,##0.00\ [$lei-418]"/>
    <numFmt numFmtId="205" formatCode="[$€-2]\ #,##0.00"/>
    <numFmt numFmtId="206" formatCode="#,##0\ [$€-1]"/>
    <numFmt numFmtId="207" formatCode="#,##0\ &quot;lei&quot;"/>
    <numFmt numFmtId="208" formatCode="#,##0\ [$lei-418]"/>
    <numFmt numFmtId="209" formatCode="#,##0.00\ &quot;lei&quot;"/>
    <numFmt numFmtId="210" formatCode="#,##0.0000\ &quot;lei&quot;"/>
    <numFmt numFmtId="211" formatCode="_(* #,##0.0_);_(* \(#,##0.0\);_(* &quot;-&quot;??_);_(@_)"/>
    <numFmt numFmtId="212" formatCode="#,##0.000000"/>
    <numFmt numFmtId="213" formatCode="#,##0.00000"/>
    <numFmt numFmtId="214" formatCode="0.000000"/>
  </numFmts>
  <fonts count="77">
    <font>
      <sz val="10"/>
      <name val="Arial"/>
      <family val="0"/>
    </font>
    <font>
      <sz val="11"/>
      <color indexed="8"/>
      <name val="Calibri"/>
      <family val="2"/>
    </font>
    <font>
      <b/>
      <sz val="10"/>
      <name val="Arial"/>
      <family val="2"/>
    </font>
    <font>
      <sz val="10"/>
      <color indexed="12"/>
      <name val="Arial"/>
      <family val="2"/>
    </font>
    <font>
      <sz val="10"/>
      <color indexed="8"/>
      <name val="Arial"/>
      <family val="2"/>
    </font>
    <font>
      <b/>
      <sz val="10"/>
      <color indexed="8"/>
      <name val="Arial"/>
      <family val="2"/>
    </font>
    <font>
      <b/>
      <sz val="12"/>
      <name val="Arial"/>
      <family val="2"/>
    </font>
    <font>
      <sz val="10"/>
      <color indexed="17"/>
      <name val="Arial"/>
      <family val="2"/>
    </font>
    <font>
      <b/>
      <sz val="10"/>
      <color indexed="17"/>
      <name val="Arial"/>
      <family val="2"/>
    </font>
    <font>
      <sz val="10"/>
      <name val="Times New Roman"/>
      <family val="1"/>
    </font>
    <font>
      <sz val="10"/>
      <color indexed="17"/>
      <name val="Times New Roman"/>
      <family val="1"/>
    </font>
    <font>
      <b/>
      <sz val="10"/>
      <color indexed="17"/>
      <name val="Times New Roman"/>
      <family val="1"/>
    </font>
    <font>
      <b/>
      <sz val="10"/>
      <color indexed="16"/>
      <name val="Arial"/>
      <family val="2"/>
    </font>
    <font>
      <b/>
      <sz val="12"/>
      <color indexed="17"/>
      <name val="Arial"/>
      <family val="2"/>
    </font>
    <font>
      <sz val="12"/>
      <color indexed="17"/>
      <name val="Arial"/>
      <family val="2"/>
    </font>
    <font>
      <sz val="9"/>
      <name val="Arial"/>
      <family val="2"/>
    </font>
    <font>
      <b/>
      <sz val="9"/>
      <name val="Arial"/>
      <family val="2"/>
    </font>
    <font>
      <sz val="12"/>
      <name val="Arial"/>
      <family val="2"/>
    </font>
    <font>
      <b/>
      <sz val="8"/>
      <name val="Tahoma"/>
      <family val="0"/>
    </font>
    <font>
      <sz val="8"/>
      <name val="Tahoma"/>
      <family val="0"/>
    </font>
    <font>
      <sz val="9"/>
      <color indexed="22"/>
      <name val="Arial"/>
      <family val="2"/>
    </font>
    <font>
      <b/>
      <sz val="9"/>
      <color indexed="8"/>
      <name val="Arial"/>
      <family val="2"/>
    </font>
    <font>
      <b/>
      <sz val="12"/>
      <color indexed="12"/>
      <name val="Arial"/>
      <family val="2"/>
    </font>
    <font>
      <b/>
      <sz val="9"/>
      <color indexed="17"/>
      <name val="Arial"/>
      <family val="0"/>
    </font>
    <font>
      <b/>
      <sz val="10"/>
      <color indexed="10"/>
      <name val="Arial"/>
      <family val="2"/>
    </font>
    <font>
      <sz val="10"/>
      <color indexed="10"/>
      <name val="Arial"/>
      <family val="2"/>
    </font>
    <font>
      <sz val="12"/>
      <name val="Times New Roman"/>
      <family val="1"/>
    </font>
    <font>
      <sz val="9"/>
      <color indexed="8"/>
      <name val="Arial"/>
      <family val="2"/>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0"/>
    </font>
    <font>
      <sz val="8.25"/>
      <color indexed="8"/>
      <name val="Arial"/>
      <family val="0"/>
    </font>
    <font>
      <sz val="1"/>
      <color indexed="8"/>
      <name val="Arial"/>
      <family val="0"/>
    </font>
    <font>
      <sz val="9.2"/>
      <color indexed="8"/>
      <name val="Arial"/>
      <family val="0"/>
    </font>
    <font>
      <sz val="10"/>
      <color indexed="57"/>
      <name val="Arial"/>
      <family val="2"/>
    </font>
    <font>
      <u val="single"/>
      <sz val="9.35"/>
      <color indexed="36"/>
      <name val="Calibri"/>
      <family val="2"/>
    </font>
    <font>
      <sz val="5.5"/>
      <name val="Arial"/>
      <family val="0"/>
    </font>
    <font>
      <sz val="8"/>
      <name val="Arial"/>
      <family val="2"/>
    </font>
    <font>
      <sz val="9"/>
      <color indexed="17"/>
      <name val="Arial"/>
      <family val="2"/>
    </font>
    <font>
      <sz val="9"/>
      <color indexed="10"/>
      <name val="Arial"/>
      <family val="2"/>
    </font>
    <font>
      <sz val="10"/>
      <color indexed="19"/>
      <name val="Arial"/>
      <family val="2"/>
    </font>
    <font>
      <b/>
      <sz val="9"/>
      <name val="Tahoma"/>
      <family val="2"/>
    </font>
    <font>
      <sz val="9"/>
      <name val="Tahoma"/>
      <family val="2"/>
    </font>
    <font>
      <strike/>
      <sz val="10"/>
      <name val="Arial"/>
      <family val="2"/>
    </font>
    <font>
      <strike/>
      <sz val="10"/>
      <color indexed="8"/>
      <name val="Arial"/>
      <family val="2"/>
    </font>
    <font>
      <b/>
      <strike/>
      <sz val="12"/>
      <color indexed="17"/>
      <name val="Arial"/>
      <family val="2"/>
    </font>
    <font>
      <strike/>
      <sz val="12"/>
      <color indexed="17"/>
      <name val="Arial"/>
      <family val="2"/>
    </font>
    <font>
      <i/>
      <sz val="9"/>
      <name val="Arial"/>
      <family val="2"/>
    </font>
    <font>
      <i/>
      <sz val="9"/>
      <color indexed="8"/>
      <name val="Arial"/>
      <family val="2"/>
    </font>
    <font>
      <sz val="10"/>
      <color indexed="9"/>
      <name val="Arial"/>
      <family val="2"/>
    </font>
    <font>
      <sz val="10"/>
      <name val="Helv"/>
      <family val="0"/>
    </font>
    <font>
      <b/>
      <sz val="10"/>
      <color indexed="9"/>
      <name val="Arial"/>
      <family val="0"/>
    </font>
    <font>
      <b/>
      <sz val="12"/>
      <color indexed="16"/>
      <name val="Arial"/>
      <family val="2"/>
    </font>
    <font>
      <i/>
      <sz val="10"/>
      <color indexed="57"/>
      <name val="Arial"/>
      <family val="2"/>
    </font>
    <font>
      <sz val="8.5"/>
      <name val="Arial"/>
      <family val="2"/>
    </font>
    <font>
      <sz val="9"/>
      <color indexed="9"/>
      <name val="Arial"/>
      <family val="2"/>
    </font>
    <font>
      <sz val="4.5"/>
      <name val="Arial"/>
      <family val="0"/>
    </font>
    <font>
      <sz val="10"/>
      <color indexed="48"/>
      <name val="Arial"/>
      <family val="2"/>
    </font>
    <font>
      <sz val="7"/>
      <name val="Arial"/>
      <family val="2"/>
    </font>
    <font>
      <sz val="9"/>
      <name val="Helv"/>
      <family val="0"/>
    </font>
    <font>
      <sz val="7.5"/>
      <name val="Arial"/>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indexed="40"/>
        <bgColor indexed="64"/>
      </patternFill>
    </fill>
    <fill>
      <patternFill patternType="solid">
        <fgColor indexed="16"/>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border>
    <border>
      <left style="thin"/>
      <right style="thin"/>
      <top/>
      <bottom style="thin"/>
    </border>
    <border>
      <left style="thin"/>
      <right style="thin"/>
      <top style="thin"/>
      <bottom style="medium"/>
    </border>
    <border>
      <left style="medium"/>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thin"/>
      <right/>
      <top style="thin"/>
      <bottom style="thin"/>
    </border>
    <border>
      <left/>
      <right style="thin"/>
      <top style="thin"/>
      <bottom style="thin"/>
    </border>
    <border>
      <left style="medium"/>
      <right/>
      <top/>
      <bottom/>
    </border>
    <border>
      <left style="medium"/>
      <right style="thin"/>
      <top style="medium"/>
      <bottom style="thin"/>
    </border>
    <border>
      <left style="thin"/>
      <right style="medium"/>
      <top style="medium"/>
      <bottom style="thin"/>
    </border>
    <border>
      <left style="thin"/>
      <right/>
      <top style="thin"/>
      <bottom style="medium"/>
    </border>
    <border>
      <left style="thin"/>
      <right style="thin"/>
      <top>
        <color indexed="63"/>
      </top>
      <bottom>
        <color indexed="63"/>
      </bottom>
    </border>
    <border>
      <left style="thin"/>
      <right style="thin"/>
      <top style="thin"/>
      <bottom>
        <color indexed="63"/>
      </botto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style="medium"/>
    </border>
    <border>
      <left style="thin"/>
      <right style="medium"/>
      <top>
        <color indexed="63"/>
      </top>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style="medium"/>
      <bottom style="medium"/>
    </border>
    <border>
      <left style="thin"/>
      <right>
        <color indexed="63"/>
      </right>
      <top style="thin"/>
      <bottom style="thin"/>
    </border>
    <border>
      <left style="thin"/>
      <right style="thin"/>
      <top>
        <color indexed="63"/>
      </top>
      <bottom style="thin"/>
    </border>
    <border>
      <left style="thin"/>
      <right>
        <color indexed="63"/>
      </right>
      <top style="thin"/>
      <bottom/>
    </border>
    <border>
      <left/>
      <right>
        <color indexed="63"/>
      </right>
      <top style="thin"/>
      <bottom style="medium"/>
    </border>
    <border>
      <left style="medium"/>
      <right style="thin"/>
      <top style="thin"/>
      <bottom/>
    </border>
    <border>
      <left style="thin"/>
      <right>
        <color indexed="63"/>
      </right>
      <top/>
      <bottom style="thin"/>
    </border>
    <border>
      <left/>
      <right>
        <color indexed="63"/>
      </right>
      <top style="medium"/>
      <bottom style="medium"/>
    </border>
    <border>
      <left style="medium"/>
      <right style="thin"/>
      <top>
        <color indexed="63"/>
      </top>
      <bottom style="thin"/>
    </border>
    <border>
      <left style="thin"/>
      <right>
        <color indexed="63"/>
      </right>
      <top>
        <color indexed="63"/>
      </top>
      <bottom style="thin"/>
    </border>
    <border>
      <left style="thin"/>
      <right>
        <color indexed="63"/>
      </right>
      <top style="thin"/>
      <bottom style="medium"/>
    </border>
    <border>
      <left/>
      <right/>
      <top style="thin"/>
      <bottom style="thin"/>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style="medium"/>
      <right style="medium"/>
      <top style="medium"/>
      <bottom style="medium"/>
    </border>
    <border>
      <left/>
      <right style="thin"/>
      <top style="thin"/>
      <bottom>
        <color indexed="63"/>
      </bottom>
    </border>
    <border>
      <left>
        <color indexed="63"/>
      </left>
      <right style="medium"/>
      <top style="thin"/>
      <bottom style="medium"/>
    </border>
    <border>
      <left style="medium"/>
      <right>
        <color indexed="63"/>
      </right>
      <top style="medium"/>
      <bottom style="medium"/>
    </border>
    <border>
      <left style="medium"/>
      <right style="thin"/>
      <top>
        <color indexed="63"/>
      </top>
      <bottom>
        <color indexed="63"/>
      </bottom>
    </border>
    <border>
      <left/>
      <right style="thin"/>
      <top style="thin"/>
      <bottom/>
    </border>
    <border>
      <left>
        <color indexed="63"/>
      </left>
      <right style="thin"/>
      <top>
        <color indexed="63"/>
      </top>
      <bottom>
        <color indexed="63"/>
      </bottom>
    </border>
    <border>
      <left>
        <color indexed="63"/>
      </left>
      <right>
        <color indexed="63"/>
      </right>
      <top>
        <color indexed="63"/>
      </top>
      <bottom style="thin"/>
    </border>
    <border>
      <left style="thin"/>
      <right/>
      <top>
        <color indexed="63"/>
      </top>
      <bottom style="thin"/>
    </border>
    <border>
      <left style="thin"/>
      <right style="medium"/>
      <top>
        <color indexed="63"/>
      </top>
      <bottom style="thin"/>
    </border>
    <border>
      <left style="thin"/>
      <right style="medium"/>
      <top style="medium"/>
      <bottom style="medium"/>
    </border>
    <border>
      <left style="medium"/>
      <right style="thin"/>
      <top/>
      <bottom style="thin"/>
    </border>
    <border>
      <left>
        <color indexed="63"/>
      </left>
      <right style="thin"/>
      <top style="thin"/>
      <bottom style="thin"/>
    </border>
    <border>
      <left>
        <color indexed="63"/>
      </left>
      <right style="medium"/>
      <top>
        <color indexed="63"/>
      </top>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right/>
      <top/>
      <bottom style="medium"/>
    </border>
    <border>
      <left style="thin"/>
      <right style="medium"/>
      <top style="thin"/>
      <bottom/>
    </border>
    <border>
      <left style="thin"/>
      <right style="medium"/>
      <top/>
      <bottom style="thin"/>
    </border>
    <border>
      <left style="thin"/>
      <right>
        <color indexed="63"/>
      </right>
      <top style="medium"/>
      <bottom style="thin"/>
    </border>
    <border>
      <left style="medium"/>
      <right style="thin"/>
      <top style="medium"/>
      <bottom>
        <color indexed="63"/>
      </bottom>
    </border>
    <border>
      <left style="thin"/>
      <right style="thin"/>
      <top style="medium"/>
      <bottom/>
    </border>
    <border>
      <left style="thin"/>
      <right style="thin"/>
      <top/>
      <bottom/>
    </border>
    <border>
      <left>
        <color indexed="63"/>
      </left>
      <right>
        <color indexed="63"/>
      </right>
      <top style="thin"/>
      <bottom style="medium"/>
    </border>
    <border>
      <left>
        <color indexed="63"/>
      </left>
      <right style="thin"/>
      <top style="thin"/>
      <bottom style="medium"/>
    </border>
    <border>
      <left style="thin"/>
      <right style="thin"/>
      <top style="medium"/>
      <bottom>
        <color indexed="63"/>
      </bottom>
    </border>
    <border>
      <left>
        <color indexed="63"/>
      </left>
      <right style="thin"/>
      <top style="medium"/>
      <bottom style="thin"/>
    </border>
    <border>
      <left style="thin"/>
      <right style="medium"/>
      <top style="medium"/>
      <bottom>
        <color indexed="63"/>
      </bottom>
    </border>
    <border>
      <left style="medium"/>
      <right style="medium"/>
      <top style="medium"/>
      <bottom>
        <color indexed="63"/>
      </bottom>
    </border>
    <border>
      <left style="medium"/>
      <right style="medium"/>
      <top>
        <color indexed="63"/>
      </top>
      <bottom style="thin"/>
    </border>
    <border>
      <left style="medium"/>
      <right style="thin"/>
      <top style="medium"/>
      <bottom/>
    </border>
    <border>
      <left style="thin"/>
      <right/>
      <top style="medium"/>
      <bottom style="thin"/>
    </border>
    <border>
      <left/>
      <right style="thin"/>
      <top style="medium"/>
      <bottom style="thin"/>
    </border>
    <border>
      <left/>
      <right style="medium"/>
      <top style="medium"/>
      <bottom style="thin"/>
    </border>
    <border>
      <left>
        <color indexed="63"/>
      </left>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style="medium"/>
      <bottom style="medium"/>
    </border>
    <border>
      <left>
        <color indexed="63"/>
      </left>
      <right>
        <color indexed="63"/>
      </right>
      <top style="thin"/>
      <bottom style="thin"/>
    </border>
    <border>
      <left style="thin"/>
      <right/>
      <top style="thin"/>
      <bottom/>
    </border>
    <border>
      <left style="thin"/>
      <right/>
      <top/>
      <bottom style="thin"/>
    </border>
  </borders>
  <cellStyleXfs count="63">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34" fillId="3" borderId="0" applyNumberFormat="0" applyBorder="0" applyAlignment="0" applyProtection="0"/>
    <xf numFmtId="0" fontId="38" fillId="20" borderId="1" applyNumberFormat="0" applyAlignment="0" applyProtection="0"/>
    <xf numFmtId="0" fontId="40" fillId="21"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0" fillId="0" borderId="0" applyNumberFormat="0" applyFill="0" applyBorder="0" applyAlignment="0" applyProtection="0"/>
    <xf numFmtId="0" fontId="33"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8" fillId="0" borderId="0" applyNumberFormat="0" applyFill="0" applyBorder="0" applyAlignment="0" applyProtection="0"/>
    <xf numFmtId="0" fontId="36" fillId="7" borderId="1" applyNumberFormat="0" applyAlignment="0" applyProtection="0"/>
    <xf numFmtId="0" fontId="39"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3" fillId="0" borderId="9" applyNumberFormat="0" applyFill="0" applyAlignment="0" applyProtection="0"/>
    <xf numFmtId="0" fontId="41" fillId="0" borderId="0" applyNumberFormat="0" applyFill="0" applyBorder="0" applyAlignment="0" applyProtection="0"/>
  </cellStyleXfs>
  <cellXfs count="1337">
    <xf numFmtId="0" fontId="0" fillId="0" borderId="0" xfId="0" applyAlignment="1">
      <alignment/>
    </xf>
    <xf numFmtId="0" fontId="4" fillId="0" borderId="0" xfId="0" applyFont="1" applyAlignment="1">
      <alignment/>
    </xf>
    <xf numFmtId="3" fontId="4" fillId="8" borderId="10" xfId="0" applyNumberFormat="1" applyFont="1" applyFill="1" applyBorder="1" applyAlignment="1">
      <alignment horizontal="right" vertical="center"/>
    </xf>
    <xf numFmtId="3" fontId="4" fillId="22" borderId="10" xfId="0" applyNumberFormat="1" applyFont="1" applyFill="1" applyBorder="1" applyAlignment="1">
      <alignment horizontal="right" vertical="center"/>
    </xf>
    <xf numFmtId="0" fontId="4" fillId="0" borderId="0" xfId="0" applyFont="1" applyAlignment="1">
      <alignment horizontal="center"/>
    </xf>
    <xf numFmtId="0" fontId="2" fillId="7" borderId="11" xfId="0" applyFont="1" applyFill="1" applyBorder="1" applyAlignment="1">
      <alignment horizontal="center" vertical="center" wrapText="1"/>
    </xf>
    <xf numFmtId="3" fontId="0" fillId="7" borderId="10" xfId="0" applyNumberFormat="1" applyFont="1" applyFill="1" applyBorder="1" applyAlignment="1">
      <alignment horizontal="right" vertical="center" wrapText="1"/>
    </xf>
    <xf numFmtId="0" fontId="0" fillId="24" borderId="10" xfId="0" applyFont="1" applyFill="1" applyBorder="1" applyAlignment="1">
      <alignment vertical="center" wrapText="1"/>
    </xf>
    <xf numFmtId="0" fontId="0" fillId="20" borderId="10" xfId="0" applyFont="1" applyFill="1" applyBorder="1" applyAlignment="1">
      <alignment vertical="center" wrapText="1"/>
    </xf>
    <xf numFmtId="0" fontId="7" fillId="0" borderId="0" xfId="0" applyFont="1" applyAlignment="1">
      <alignment/>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0" borderId="12" xfId="0" applyFont="1" applyFill="1" applyBorder="1" applyAlignment="1">
      <alignment vertical="center" wrapText="1"/>
    </xf>
    <xf numFmtId="3" fontId="0" fillId="0" borderId="13" xfId="0" applyNumberFormat="1" applyFont="1" applyFill="1" applyBorder="1" applyAlignment="1">
      <alignment vertical="center" wrapText="1"/>
    </xf>
    <xf numFmtId="3" fontId="0" fillId="20" borderId="13" xfId="0" applyNumberFormat="1" applyFont="1" applyFill="1" applyBorder="1" applyAlignment="1">
      <alignment vertical="center" wrapText="1"/>
    </xf>
    <xf numFmtId="0" fontId="2" fillId="8" borderId="10" xfId="0" applyFont="1" applyFill="1" applyBorder="1" applyAlignment="1">
      <alignment horizontal="center" vertical="center" wrapText="1"/>
    </xf>
    <xf numFmtId="3" fontId="0" fillId="8" borderId="14" xfId="0" applyNumberFormat="1" applyFont="1" applyFill="1" applyBorder="1" applyAlignment="1">
      <alignment horizontal="right" vertical="center" wrapText="1"/>
    </xf>
    <xf numFmtId="3" fontId="0" fillId="8" borderId="10" xfId="0" applyNumberFormat="1" applyFont="1" applyFill="1" applyBorder="1" applyAlignment="1">
      <alignment horizontal="right" vertical="center" wrapText="1"/>
    </xf>
    <xf numFmtId="3" fontId="0" fillId="0" borderId="10" xfId="0" applyNumberFormat="1" applyFont="1" applyFill="1" applyBorder="1" applyAlignment="1">
      <alignment vertical="center" wrapText="1"/>
    </xf>
    <xf numFmtId="3" fontId="0" fillId="20" borderId="10" xfId="0" applyNumberFormat="1" applyFont="1" applyFill="1" applyBorder="1" applyAlignment="1">
      <alignment vertical="center" wrapText="1"/>
    </xf>
    <xf numFmtId="3" fontId="0" fillId="0" borderId="15" xfId="0" applyNumberFormat="1" applyFont="1" applyFill="1" applyBorder="1" applyAlignment="1">
      <alignment vertical="center" wrapText="1"/>
    </xf>
    <xf numFmtId="3" fontId="0" fillId="0" borderId="10" xfId="0" applyNumberFormat="1" applyFont="1" applyFill="1" applyBorder="1" applyAlignment="1">
      <alignment horizontal="left" vertical="center" wrapText="1"/>
    </xf>
    <xf numFmtId="3" fontId="0" fillId="20" borderId="10" xfId="0" applyNumberFormat="1" applyFont="1" applyFill="1" applyBorder="1" applyAlignment="1">
      <alignment horizontal="left" vertical="center" wrapText="1"/>
    </xf>
    <xf numFmtId="0" fontId="0" fillId="0" borderId="0" xfId="0" applyFont="1" applyAlignment="1">
      <alignment/>
    </xf>
    <xf numFmtId="3" fontId="0" fillId="0" borderId="10" xfId="0" applyNumberFormat="1" applyFont="1" applyBorder="1" applyAlignment="1">
      <alignment vertical="center" wrapText="1"/>
    </xf>
    <xf numFmtId="3" fontId="0" fillId="8" borderId="10" xfId="0" applyNumberFormat="1" applyFont="1" applyFill="1" applyBorder="1" applyAlignment="1">
      <alignment horizontal="right" vertical="center"/>
    </xf>
    <xf numFmtId="0" fontId="0" fillId="0" borderId="10" xfId="0" applyFont="1" applyFill="1" applyBorder="1" applyAlignment="1">
      <alignment wrapText="1"/>
    </xf>
    <xf numFmtId="0" fontId="0" fillId="20" borderId="10" xfId="0" applyFont="1" applyFill="1" applyBorder="1" applyAlignment="1">
      <alignment wrapText="1"/>
    </xf>
    <xf numFmtId="0" fontId="0" fillId="20" borderId="12" xfId="0" applyFont="1" applyFill="1" applyBorder="1" applyAlignment="1">
      <alignment wrapText="1"/>
    </xf>
    <xf numFmtId="3" fontId="0" fillId="8" borderId="13" xfId="0" applyNumberFormat="1" applyFont="1" applyFill="1" applyBorder="1" applyAlignment="1">
      <alignment horizontal="right" vertical="center"/>
    </xf>
    <xf numFmtId="0" fontId="0" fillId="0" borderId="13" xfId="0" applyFont="1" applyFill="1" applyBorder="1" applyAlignment="1">
      <alignment wrapText="1"/>
    </xf>
    <xf numFmtId="0" fontId="2" fillId="22" borderId="11" xfId="0" applyFont="1" applyFill="1" applyBorder="1" applyAlignment="1">
      <alignment horizontal="center" vertical="center" wrapText="1"/>
    </xf>
    <xf numFmtId="3" fontId="0" fillId="22" borderId="14" xfId="0" applyNumberFormat="1" applyFont="1" applyFill="1" applyBorder="1" applyAlignment="1">
      <alignment horizontal="right" vertical="center" wrapText="1"/>
    </xf>
    <xf numFmtId="0" fontId="0" fillId="0" borderId="14" xfId="0" applyFont="1" applyFill="1" applyBorder="1" applyAlignment="1">
      <alignment vertical="center" wrapText="1"/>
    </xf>
    <xf numFmtId="3" fontId="0" fillId="22" borderId="10" xfId="0" applyNumberFormat="1" applyFont="1" applyFill="1" applyBorder="1" applyAlignment="1">
      <alignment horizontal="right" vertical="center" wrapText="1"/>
    </xf>
    <xf numFmtId="0" fontId="0" fillId="20" borderId="10" xfId="0" applyFont="1" applyFill="1" applyBorder="1" applyAlignment="1">
      <alignment horizontal="justify" vertical="top" wrapText="1"/>
    </xf>
    <xf numFmtId="0" fontId="4" fillId="20" borderId="10" xfId="0" applyFont="1" applyFill="1" applyBorder="1" applyAlignment="1">
      <alignment horizontal="justify" vertical="top" wrapText="1"/>
    </xf>
    <xf numFmtId="0" fontId="0" fillId="0" borderId="10" xfId="0" applyFont="1" applyBorder="1" applyAlignment="1">
      <alignment horizontal="justify" vertical="top" wrapText="1"/>
    </xf>
    <xf numFmtId="0" fontId="4" fillId="0" borderId="10" xfId="0" applyFont="1" applyBorder="1" applyAlignment="1">
      <alignment horizontal="justify" vertical="top" wrapText="1"/>
    </xf>
    <xf numFmtId="0" fontId="4" fillId="0" borderId="12" xfId="0" applyFont="1" applyBorder="1" applyAlignment="1">
      <alignment horizontal="justify" vertical="top" wrapText="1"/>
    </xf>
    <xf numFmtId="0" fontId="0" fillId="24" borderId="10" xfId="0" applyFont="1" applyFill="1" applyBorder="1" applyAlignment="1">
      <alignment horizontal="justify" vertical="top" wrapText="1"/>
    </xf>
    <xf numFmtId="0" fontId="2" fillId="22" borderId="16" xfId="0" applyFont="1" applyFill="1" applyBorder="1" applyAlignment="1">
      <alignment horizontal="center" vertical="center" wrapText="1"/>
    </xf>
    <xf numFmtId="3" fontId="2" fillId="22" borderId="15" xfId="0" applyNumberFormat="1" applyFont="1" applyFill="1" applyBorder="1" applyAlignment="1">
      <alignment horizontal="right" vertical="center"/>
    </xf>
    <xf numFmtId="0" fontId="0" fillId="0" borderId="17" xfId="0" applyFont="1" applyFill="1" applyBorder="1" applyAlignment="1">
      <alignment/>
    </xf>
    <xf numFmtId="0" fontId="4" fillId="0" borderId="17" xfId="0" applyFont="1" applyFill="1" applyBorder="1" applyAlignment="1">
      <alignment/>
    </xf>
    <xf numFmtId="0" fontId="2" fillId="14" borderId="18" xfId="0" applyFont="1" applyFill="1" applyBorder="1" applyAlignment="1">
      <alignment horizontal="center" vertical="center" wrapText="1"/>
    </xf>
    <xf numFmtId="3" fontId="2" fillId="14" borderId="19" xfId="0" applyNumberFormat="1" applyFont="1" applyFill="1" applyBorder="1" applyAlignment="1">
      <alignment horizontal="right" vertical="center"/>
    </xf>
    <xf numFmtId="0" fontId="0" fillId="0" borderId="20"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2" fillId="24" borderId="0" xfId="0" applyFont="1" applyFill="1" applyBorder="1" applyAlignment="1">
      <alignment horizontal="center" vertical="center" wrapText="1"/>
    </xf>
    <xf numFmtId="3" fontId="0" fillId="24" borderId="0" xfId="0" applyNumberFormat="1" applyFont="1" applyFill="1" applyBorder="1" applyAlignment="1">
      <alignment horizontal="right" vertical="center"/>
    </xf>
    <xf numFmtId="0" fontId="0" fillId="24" borderId="0" xfId="0" applyFont="1" applyFill="1" applyBorder="1" applyAlignment="1">
      <alignment/>
    </xf>
    <xf numFmtId="0" fontId="4" fillId="24" borderId="0" xfId="0" applyFont="1" applyFill="1" applyBorder="1" applyAlignment="1">
      <alignment/>
    </xf>
    <xf numFmtId="0" fontId="4" fillId="24" borderId="0" xfId="0" applyFont="1" applyFill="1" applyAlignment="1">
      <alignment/>
    </xf>
    <xf numFmtId="4" fontId="0" fillId="24" borderId="0"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3" fontId="0" fillId="0" borderId="11" xfId="0" applyNumberFormat="1" applyFont="1" applyFill="1" applyBorder="1" applyAlignment="1">
      <alignment vertical="center" wrapText="1"/>
    </xf>
    <xf numFmtId="3" fontId="0" fillId="0" borderId="10" xfId="0" applyNumberFormat="1" applyFont="1" applyFill="1" applyBorder="1" applyAlignment="1">
      <alignment horizontal="right" vertical="center" wrapText="1"/>
    </xf>
    <xf numFmtId="3" fontId="0" fillId="0" borderId="10" xfId="0" applyNumberFormat="1"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3" fontId="0" fillId="0" borderId="16" xfId="0" applyNumberFormat="1" applyFont="1" applyFill="1" applyBorder="1" applyAlignment="1">
      <alignment vertical="center" wrapText="1"/>
    </xf>
    <xf numFmtId="3" fontId="0" fillId="0" borderId="15" xfId="0" applyNumberFormat="1" applyFont="1" applyFill="1" applyBorder="1" applyAlignment="1">
      <alignment horizontal="right" vertical="center" wrapText="1"/>
    </xf>
    <xf numFmtId="3" fontId="0" fillId="24" borderId="15" xfId="0" applyNumberFormat="1" applyFont="1" applyFill="1" applyBorder="1" applyAlignment="1">
      <alignment vertical="center" wrapText="1"/>
    </xf>
    <xf numFmtId="3" fontId="0" fillId="24" borderId="22" xfId="0" applyNumberFormat="1" applyFont="1" applyFill="1" applyBorder="1" applyAlignment="1">
      <alignment vertical="center" wrapText="1"/>
    </xf>
    <xf numFmtId="0" fontId="4" fillId="0" borderId="0" xfId="0" applyFont="1" applyFill="1" applyAlignment="1">
      <alignment/>
    </xf>
    <xf numFmtId="0" fontId="2" fillId="4" borderId="11" xfId="0" applyFont="1" applyFill="1" applyBorder="1" applyAlignment="1">
      <alignment horizontal="center" vertical="center" wrapText="1"/>
    </xf>
    <xf numFmtId="0" fontId="0" fillId="4" borderId="11" xfId="0" applyFont="1" applyFill="1" applyBorder="1" applyAlignment="1">
      <alignment vertical="center" wrapText="1"/>
    </xf>
    <xf numFmtId="3" fontId="0" fillId="4" borderId="10" xfId="0" applyNumberFormat="1" applyFont="1" applyFill="1" applyBorder="1" applyAlignment="1">
      <alignment horizontal="right" vertical="center" wrapText="1"/>
    </xf>
    <xf numFmtId="0" fontId="0" fillId="20" borderId="12" xfId="0" applyFont="1" applyFill="1" applyBorder="1" applyAlignment="1">
      <alignment vertical="center" wrapText="1"/>
    </xf>
    <xf numFmtId="0" fontId="4" fillId="24" borderId="10" xfId="0" applyFont="1" applyFill="1" applyBorder="1" applyAlignment="1">
      <alignment horizontal="justify" vertical="top" wrapText="1"/>
    </xf>
    <xf numFmtId="0" fontId="0" fillId="0" borderId="10" xfId="0" applyFont="1" applyBorder="1" applyAlignment="1">
      <alignment horizontal="right" vertical="top" wrapText="1"/>
    </xf>
    <xf numFmtId="0" fontId="4" fillId="0" borderId="10" xfId="0" applyFont="1" applyBorder="1" applyAlignment="1">
      <alignment horizontal="right" vertical="top" wrapText="1"/>
    </xf>
    <xf numFmtId="0" fontId="4" fillId="20" borderId="10" xfId="0" applyFont="1" applyFill="1" applyBorder="1" applyAlignment="1">
      <alignment vertical="top" wrapText="1"/>
    </xf>
    <xf numFmtId="0" fontId="4" fillId="0" borderId="12" xfId="0" applyFont="1" applyBorder="1" applyAlignment="1">
      <alignment vertical="top" wrapText="1"/>
    </xf>
    <xf numFmtId="3" fontId="5" fillId="4" borderId="15" xfId="0" applyNumberFormat="1" applyFont="1" applyFill="1" applyBorder="1" applyAlignment="1">
      <alignment horizontal="right" vertical="center"/>
    </xf>
    <xf numFmtId="0" fontId="4" fillId="0" borderId="15" xfId="0" applyFont="1" applyBorder="1" applyAlignment="1">
      <alignment/>
    </xf>
    <xf numFmtId="0" fontId="4" fillId="0" borderId="22" xfId="0" applyFont="1" applyBorder="1" applyAlignment="1">
      <alignment/>
    </xf>
    <xf numFmtId="3" fontId="4" fillId="0" borderId="0" xfId="0" applyNumberFormat="1" applyFont="1" applyAlignment="1">
      <alignment horizontal="right" vertical="center"/>
    </xf>
    <xf numFmtId="0" fontId="5" fillId="0" borderId="0" xfId="0" applyFont="1" applyAlignment="1">
      <alignment horizontal="center"/>
    </xf>
    <xf numFmtId="3" fontId="5" fillId="0" borderId="0" xfId="0" applyNumberFormat="1" applyFont="1" applyAlignment="1" quotePrefix="1">
      <alignment horizontal="right" vertical="center"/>
    </xf>
    <xf numFmtId="4" fontId="4" fillId="0" borderId="0" xfId="0" applyNumberFormat="1" applyFont="1" applyAlignment="1" quotePrefix="1">
      <alignment horizontal="center"/>
    </xf>
    <xf numFmtId="4" fontId="4" fillId="0" borderId="0" xfId="0" applyNumberFormat="1" applyFont="1" applyAlignment="1">
      <alignment horizontal="center"/>
    </xf>
    <xf numFmtId="0" fontId="2" fillId="7" borderId="23" xfId="0" applyFont="1" applyFill="1" applyBorder="1" applyAlignment="1">
      <alignment horizontal="center"/>
    </xf>
    <xf numFmtId="3" fontId="0" fillId="7" borderId="10" xfId="0" applyNumberFormat="1" applyFont="1" applyFill="1" applyBorder="1" applyAlignment="1">
      <alignment horizontal="right" vertical="center" wrapText="1"/>
    </xf>
    <xf numFmtId="0" fontId="8" fillId="0" borderId="10" xfId="0" applyFont="1" applyFill="1" applyBorder="1" applyAlignment="1">
      <alignment horizontal="center" vertical="center" wrapText="1"/>
    </xf>
    <xf numFmtId="0" fontId="8" fillId="2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xf>
    <xf numFmtId="0" fontId="7" fillId="2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173" fontId="9" fillId="20" borderId="10" xfId="0" applyNumberFormat="1" applyFont="1" applyFill="1" applyBorder="1" applyAlignment="1">
      <alignment horizontal="center" vertical="center" wrapText="1"/>
    </xf>
    <xf numFmtId="173" fontId="9" fillId="0" borderId="10" xfId="0" applyNumberFormat="1" applyFont="1" applyFill="1" applyBorder="1" applyAlignment="1">
      <alignment horizontal="center" vertical="center" wrapText="1"/>
    </xf>
    <xf numFmtId="3" fontId="0" fillId="7" borderId="10" xfId="0" applyNumberFormat="1" applyFont="1" applyFill="1" applyBorder="1" applyAlignment="1">
      <alignment horizontal="right" vertical="center"/>
    </xf>
    <xf numFmtId="0" fontId="12" fillId="0" borderId="10" xfId="0" applyFont="1" applyBorder="1" applyAlignment="1">
      <alignment horizontal="left"/>
    </xf>
    <xf numFmtId="0" fontId="12" fillId="20" borderId="10" xfId="0" applyFont="1" applyFill="1" applyBorder="1" applyAlignment="1">
      <alignment horizontal="left"/>
    </xf>
    <xf numFmtId="0" fontId="8" fillId="0" borderId="10" xfId="0" applyFont="1" applyFill="1" applyBorder="1" applyAlignment="1">
      <alignment horizontal="center" vertical="center" wrapText="1"/>
    </xf>
    <xf numFmtId="0" fontId="8" fillId="20" borderId="10" xfId="0" applyFont="1" applyFill="1" applyBorder="1" applyAlignment="1">
      <alignment horizontal="center" vertical="center" wrapText="1"/>
    </xf>
    <xf numFmtId="0" fontId="8" fillId="20" borderId="12" xfId="0" applyFont="1" applyFill="1" applyBorder="1" applyAlignment="1">
      <alignment horizontal="center" vertical="center" wrapText="1"/>
    </xf>
    <xf numFmtId="0" fontId="13" fillId="20" borderId="10" xfId="0" applyFont="1" applyFill="1" applyBorder="1" applyAlignment="1">
      <alignment horizontal="center" vertical="center" wrapText="1"/>
    </xf>
    <xf numFmtId="0" fontId="14" fillId="2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3" fontId="2" fillId="7" borderId="15" xfId="0" applyNumberFormat="1" applyFont="1" applyFill="1" applyBorder="1" applyAlignment="1">
      <alignment horizontal="center" vertical="center" wrapText="1"/>
    </xf>
    <xf numFmtId="172" fontId="2" fillId="7" borderId="15" xfId="42" applyNumberFormat="1" applyFont="1" applyFill="1" applyBorder="1" applyAlignment="1">
      <alignment horizontal="right" vertical="center" wrapText="1"/>
    </xf>
    <xf numFmtId="0" fontId="15" fillId="0" borderId="15" xfId="0" applyFont="1" applyBorder="1" applyAlignment="1">
      <alignment/>
    </xf>
    <xf numFmtId="0" fontId="15" fillId="0" borderId="0" xfId="0" applyFont="1" applyAlignment="1">
      <alignment/>
    </xf>
    <xf numFmtId="0" fontId="0" fillId="0" borderId="0" xfId="0" applyAlignment="1">
      <alignment vertical="center"/>
    </xf>
    <xf numFmtId="0" fontId="15" fillId="0" borderId="0" xfId="0" applyFont="1" applyBorder="1" applyAlignment="1">
      <alignment/>
    </xf>
    <xf numFmtId="0" fontId="2" fillId="8" borderId="12" xfId="0" applyFont="1" applyFill="1" applyBorder="1" applyAlignment="1">
      <alignment horizontal="center" vertical="center" wrapText="1"/>
    </xf>
    <xf numFmtId="0" fontId="0" fillId="8" borderId="11" xfId="0" applyFont="1" applyFill="1" applyBorder="1" applyAlignment="1">
      <alignment horizontal="center" vertical="center" wrapText="1"/>
    </xf>
    <xf numFmtId="3" fontId="0" fillId="8" borderId="10" xfId="0" applyNumberFormat="1" applyFont="1" applyFill="1" applyBorder="1" applyAlignment="1">
      <alignment horizontal="right" vertical="center" wrapText="1"/>
    </xf>
    <xf numFmtId="3" fontId="7" fillId="20" borderId="10" xfId="0" applyNumberFormat="1" applyFont="1" applyFill="1" applyBorder="1" applyAlignment="1">
      <alignment horizontal="center" vertical="center" wrapText="1"/>
    </xf>
    <xf numFmtId="0" fontId="7" fillId="20" borderId="10"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9" fillId="0" borderId="10" xfId="0" applyFont="1" applyFill="1" applyBorder="1" applyAlignment="1">
      <alignment horizontal="center" vertical="center"/>
    </xf>
    <xf numFmtId="0" fontId="9" fillId="20" borderId="10" xfId="0" applyFont="1" applyFill="1" applyBorder="1" applyAlignment="1">
      <alignment horizontal="center" vertical="center"/>
    </xf>
    <xf numFmtId="0" fontId="0" fillId="0" borderId="0" xfId="0" applyFont="1" applyFill="1" applyBorder="1" applyAlignment="1">
      <alignment/>
    </xf>
    <xf numFmtId="0" fontId="2" fillId="8" borderId="11" xfId="0" applyFont="1" applyFill="1" applyBorder="1" applyAlignment="1">
      <alignment horizontal="center"/>
    </xf>
    <xf numFmtId="3" fontId="11" fillId="8" borderId="25" xfId="0" applyNumberFormat="1" applyFont="1" applyFill="1" applyBorder="1" applyAlignment="1">
      <alignment horizontal="right" vertical="center"/>
    </xf>
    <xf numFmtId="0" fontId="10" fillId="0" borderId="10" xfId="0" applyFont="1" applyFill="1" applyBorder="1" applyAlignment="1">
      <alignment horizontal="center" vertical="center"/>
    </xf>
    <xf numFmtId="2" fontId="11" fillId="11" borderId="10" xfId="0" applyNumberFormat="1" applyFont="1" applyFill="1" applyBorder="1" applyAlignment="1">
      <alignment horizontal="center" vertical="center"/>
    </xf>
    <xf numFmtId="2" fontId="11" fillId="0" borderId="10" xfId="0" applyNumberFormat="1" applyFont="1" applyFill="1" applyBorder="1" applyAlignment="1">
      <alignment horizontal="center" vertical="center"/>
    </xf>
    <xf numFmtId="0" fontId="2" fillId="0" borderId="0" xfId="0" applyFont="1" applyAlignment="1">
      <alignment/>
    </xf>
    <xf numFmtId="3" fontId="2" fillId="8" borderId="10" xfId="0" applyNumberFormat="1" applyFont="1" applyFill="1" applyBorder="1" applyAlignment="1">
      <alignment horizontal="right" vertical="center" wrapText="1"/>
    </xf>
    <xf numFmtId="4" fontId="2" fillId="0" borderId="10" xfId="0" applyNumberFormat="1" applyFont="1" applyFill="1" applyBorder="1" applyAlignment="1">
      <alignment horizontal="center" vertical="center" wrapText="1"/>
    </xf>
    <xf numFmtId="0" fontId="0" fillId="8" borderId="26" xfId="0" applyFont="1" applyFill="1" applyBorder="1" applyAlignment="1">
      <alignment horizontal="center" vertical="center" wrapText="1"/>
    </xf>
    <xf numFmtId="0" fontId="7" fillId="0" borderId="12" xfId="0" applyFont="1" applyFill="1" applyBorder="1" applyAlignment="1">
      <alignment horizontal="center" vertical="center"/>
    </xf>
    <xf numFmtId="0" fontId="12" fillId="20" borderId="10" xfId="0" applyFont="1" applyFill="1" applyBorder="1" applyAlignment="1">
      <alignment horizontal="center"/>
    </xf>
    <xf numFmtId="0" fontId="8" fillId="20" borderId="14" xfId="0" applyFont="1" applyFill="1" applyBorder="1" applyAlignment="1">
      <alignment horizontal="center" vertical="center" wrapText="1"/>
    </xf>
    <xf numFmtId="0" fontId="7" fillId="20" borderId="14"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8" fillId="24" borderId="10" xfId="0" applyFont="1" applyFill="1" applyBorder="1" applyAlignment="1">
      <alignment horizontal="center" vertical="center" wrapText="1"/>
    </xf>
    <xf numFmtId="3" fontId="0" fillId="8" borderId="10" xfId="0" applyNumberFormat="1" applyFill="1" applyBorder="1" applyAlignment="1">
      <alignment horizontal="right" vertical="center"/>
    </xf>
    <xf numFmtId="0" fontId="7" fillId="24" borderId="10" xfId="0" applyFont="1" applyFill="1" applyBorder="1" applyAlignment="1">
      <alignment horizontal="center" vertical="center"/>
    </xf>
    <xf numFmtId="0" fontId="0" fillId="20" borderId="10" xfId="0" applyFont="1" applyFill="1" applyBorder="1" applyAlignment="1">
      <alignment horizontal="center" vertical="center"/>
    </xf>
    <xf numFmtId="0" fontId="14" fillId="20" borderId="1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2" fillId="8" borderId="16" xfId="0" applyFont="1" applyFill="1" applyBorder="1" applyAlignment="1">
      <alignment horizontal="center" vertical="center" wrapText="1"/>
    </xf>
    <xf numFmtId="0" fontId="2" fillId="8" borderId="15" xfId="0" applyFont="1" applyFill="1" applyBorder="1" applyAlignment="1">
      <alignment horizontal="center" vertical="center" wrapText="1"/>
    </xf>
    <xf numFmtId="172" fontId="2" fillId="8" borderId="15" xfId="42" applyNumberFormat="1" applyFont="1" applyFill="1" applyBorder="1" applyAlignment="1">
      <alignment horizontal="right" vertical="center" wrapText="1"/>
    </xf>
    <xf numFmtId="0" fontId="2" fillId="22" borderId="23" xfId="0" applyFont="1" applyFill="1" applyBorder="1" applyAlignment="1">
      <alignment horizontal="center" vertical="center" wrapText="1"/>
    </xf>
    <xf numFmtId="0" fontId="2" fillId="22" borderId="10" xfId="0" applyFont="1" applyFill="1" applyBorder="1" applyAlignment="1">
      <alignment horizontal="center" vertical="center" wrapText="1"/>
    </xf>
    <xf numFmtId="0" fontId="2" fillId="22" borderId="12" xfId="0" applyFont="1" applyFill="1" applyBorder="1" applyAlignment="1">
      <alignment horizontal="center" vertical="center" wrapText="1"/>
    </xf>
    <xf numFmtId="3" fontId="0" fillId="22" borderId="10" xfId="0" applyNumberFormat="1" applyFont="1" applyFill="1" applyBorder="1" applyAlignment="1">
      <alignment horizontal="right" vertical="center"/>
    </xf>
    <xf numFmtId="0" fontId="9" fillId="0" borderId="12" xfId="0" applyFont="1" applyFill="1" applyBorder="1" applyAlignment="1">
      <alignment horizontal="center" vertical="center" wrapText="1"/>
    </xf>
    <xf numFmtId="0" fontId="7" fillId="24" borderId="12" xfId="0" applyFont="1" applyFill="1" applyBorder="1" applyAlignment="1">
      <alignment horizontal="center" vertical="center"/>
    </xf>
    <xf numFmtId="0" fontId="14" fillId="0" borderId="12" xfId="0" applyFont="1" applyFill="1" applyBorder="1" applyAlignment="1">
      <alignment horizontal="center" vertical="center"/>
    </xf>
    <xf numFmtId="0" fontId="4" fillId="7" borderId="27" xfId="0" applyFont="1" applyFill="1" applyBorder="1" applyAlignment="1">
      <alignment/>
    </xf>
    <xf numFmtId="0" fontId="4" fillId="8" borderId="11" xfId="0" applyFont="1" applyFill="1" applyBorder="1" applyAlignment="1">
      <alignment/>
    </xf>
    <xf numFmtId="0" fontId="4" fillId="22" borderId="11" xfId="0" applyFont="1" applyFill="1" applyBorder="1" applyAlignment="1">
      <alignment/>
    </xf>
    <xf numFmtId="0" fontId="2" fillId="14" borderId="16" xfId="0" applyFont="1" applyFill="1" applyBorder="1" applyAlignment="1">
      <alignment horizontal="center"/>
    </xf>
    <xf numFmtId="0" fontId="2" fillId="4" borderId="10" xfId="0" applyFont="1" applyFill="1" applyBorder="1" applyAlignment="1">
      <alignment horizontal="center" vertical="center" wrapText="1"/>
    </xf>
    <xf numFmtId="3" fontId="0" fillId="4" borderId="10" xfId="0" applyNumberFormat="1" applyFont="1" applyFill="1" applyBorder="1" applyAlignment="1">
      <alignment horizontal="right" vertical="center" wrapText="1"/>
    </xf>
    <xf numFmtId="3" fontId="0" fillId="4" borderId="10" xfId="0" applyNumberFormat="1" applyFont="1" applyFill="1" applyBorder="1" applyAlignment="1">
      <alignment horizontal="right" vertical="center"/>
    </xf>
    <xf numFmtId="3" fontId="7" fillId="0" borderId="10" xfId="0" applyNumberFormat="1" applyFont="1" applyFill="1" applyBorder="1" applyAlignment="1">
      <alignment horizontal="center" vertical="center"/>
    </xf>
    <xf numFmtId="0" fontId="0" fillId="0" borderId="10" xfId="0" applyBorder="1" applyAlignment="1">
      <alignment/>
    </xf>
    <xf numFmtId="0" fontId="0" fillId="20" borderId="10" xfId="0" applyFill="1" applyBorder="1" applyAlignment="1">
      <alignment/>
    </xf>
    <xf numFmtId="2" fontId="9" fillId="20" borderId="10" xfId="0" applyNumberFormat="1" applyFont="1" applyFill="1" applyBorder="1" applyAlignment="1">
      <alignment horizontal="center" vertical="center"/>
    </xf>
    <xf numFmtId="0" fontId="9" fillId="20" borderId="10" xfId="0" applyFont="1" applyFill="1" applyBorder="1" applyAlignment="1">
      <alignment horizontal="center" vertical="center" wrapText="1"/>
    </xf>
    <xf numFmtId="0" fontId="17" fillId="20" borderId="10" xfId="0" applyFont="1" applyFill="1" applyBorder="1" applyAlignment="1">
      <alignment horizontal="center" vertical="center"/>
    </xf>
    <xf numFmtId="0" fontId="0" fillId="4" borderId="16" xfId="0" applyFill="1" applyBorder="1" applyAlignment="1">
      <alignment/>
    </xf>
    <xf numFmtId="0" fontId="0" fillId="0" borderId="27" xfId="0" applyFill="1" applyBorder="1" applyAlignment="1">
      <alignment horizontal="center"/>
    </xf>
    <xf numFmtId="3" fontId="0" fillId="0" borderId="28" xfId="0" applyNumberFormat="1" applyBorder="1" applyAlignment="1">
      <alignment/>
    </xf>
    <xf numFmtId="0" fontId="0" fillId="0" borderId="11" xfId="0" applyFont="1" applyFill="1" applyBorder="1" applyAlignment="1">
      <alignment horizontal="center" vertical="center" wrapText="1"/>
    </xf>
    <xf numFmtId="3" fontId="0" fillId="0" borderId="12" xfId="0" applyNumberFormat="1" applyBorder="1" applyAlignment="1">
      <alignment/>
    </xf>
    <xf numFmtId="0" fontId="0" fillId="0" borderId="11" xfId="0" applyFill="1" applyBorder="1" applyAlignment="1">
      <alignment horizontal="center"/>
    </xf>
    <xf numFmtId="0" fontId="2" fillId="0" borderId="16" xfId="0" applyFont="1" applyBorder="1" applyAlignment="1">
      <alignment horizontal="center"/>
    </xf>
    <xf numFmtId="3" fontId="2" fillId="0" borderId="22" xfId="0" applyNumberFormat="1" applyFont="1" applyBorder="1" applyAlignment="1">
      <alignment/>
    </xf>
    <xf numFmtId="0" fontId="15" fillId="0" borderId="0" xfId="0" applyFont="1" applyAlignment="1">
      <alignment/>
    </xf>
    <xf numFmtId="0" fontId="0" fillId="0" borderId="0" xfId="0" applyBorder="1" applyAlignment="1">
      <alignment/>
    </xf>
    <xf numFmtId="0" fontId="2" fillId="7" borderId="10" xfId="0" applyFont="1" applyFill="1" applyBorder="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0" borderId="0" xfId="0" applyFont="1" applyFill="1" applyBorder="1" applyAlignment="1">
      <alignment horizontal="center" vertical="center" wrapText="1"/>
    </xf>
    <xf numFmtId="0" fontId="16" fillId="0" borderId="0" xfId="0" applyFont="1" applyBorder="1" applyAlignment="1">
      <alignment horizontal="center"/>
    </xf>
    <xf numFmtId="172" fontId="16" fillId="0" borderId="0" xfId="0" applyNumberFormat="1" applyFont="1" applyBorder="1" applyAlignment="1">
      <alignment horizontal="right" vertical="center"/>
    </xf>
    <xf numFmtId="0" fontId="7" fillId="0" borderId="0" xfId="0" applyFont="1" applyFill="1" applyBorder="1" applyAlignment="1">
      <alignment horizontal="center" vertical="center"/>
    </xf>
    <xf numFmtId="172" fontId="2" fillId="0" borderId="0" xfId="0" applyNumberFormat="1" applyFont="1" applyFill="1" applyBorder="1" applyAlignment="1">
      <alignment horizontal="center" vertical="center" wrapText="1"/>
    </xf>
    <xf numFmtId="0" fontId="15" fillId="0" borderId="0" xfId="0" applyFont="1" applyBorder="1" applyAlignment="1">
      <alignment/>
    </xf>
    <xf numFmtId="0" fontId="2" fillId="0" borderId="10" xfId="0" applyFont="1" applyFill="1" applyBorder="1" applyAlignment="1">
      <alignment horizontal="center" wrapText="1"/>
    </xf>
    <xf numFmtId="0" fontId="2" fillId="0" borderId="12" xfId="0" applyFont="1" applyFill="1" applyBorder="1" applyAlignment="1">
      <alignment horizontal="center" wrapText="1"/>
    </xf>
    <xf numFmtId="0" fontId="2" fillId="0" borderId="10" xfId="0" applyFont="1" applyFill="1" applyBorder="1" applyAlignment="1">
      <alignment wrapText="1"/>
    </xf>
    <xf numFmtId="0" fontId="2" fillId="0" borderId="12" xfId="0" applyFont="1" applyFill="1" applyBorder="1" applyAlignment="1">
      <alignment wrapText="1"/>
    </xf>
    <xf numFmtId="172" fontId="2" fillId="0" borderId="0" xfId="42" applyNumberFormat="1" applyFont="1" applyFill="1" applyBorder="1" applyAlignment="1">
      <alignment horizontal="right" vertical="center" wrapText="1"/>
    </xf>
    <xf numFmtId="3" fontId="7" fillId="0" borderId="0" xfId="0" applyNumberFormat="1" applyFont="1" applyAlignment="1">
      <alignment/>
    </xf>
    <xf numFmtId="0" fontId="2" fillId="8" borderId="11" xfId="0" applyFont="1" applyFill="1" applyBorder="1" applyAlignment="1">
      <alignment horizontal="center" vertical="center" wrapText="1"/>
    </xf>
    <xf numFmtId="3" fontId="0" fillId="0" borderId="0" xfId="0" applyNumberFormat="1" applyAlignment="1">
      <alignment/>
    </xf>
    <xf numFmtId="0" fontId="0" fillId="22" borderId="11" xfId="0" applyFont="1" applyFill="1" applyBorder="1" applyAlignment="1">
      <alignment vertical="top" wrapText="1"/>
    </xf>
    <xf numFmtId="0" fontId="0" fillId="22" borderId="16" xfId="0" applyFont="1" applyFill="1" applyBorder="1" applyAlignment="1">
      <alignment vertical="top" wrapText="1"/>
    </xf>
    <xf numFmtId="3" fontId="0" fillId="22" borderId="15" xfId="0" applyNumberFormat="1" applyFont="1" applyFill="1" applyBorder="1" applyAlignment="1">
      <alignment horizontal="right" vertical="center"/>
    </xf>
    <xf numFmtId="0" fontId="7" fillId="0" borderId="15" xfId="0" applyFont="1" applyFill="1" applyBorder="1" applyAlignment="1">
      <alignment horizontal="center" vertical="center"/>
    </xf>
    <xf numFmtId="0" fontId="7" fillId="20" borderId="15" xfId="0" applyFont="1" applyFill="1" applyBorder="1" applyAlignment="1">
      <alignment horizontal="center" vertical="center"/>
    </xf>
    <xf numFmtId="0" fontId="0" fillId="0" borderId="0" xfId="0" applyFont="1" applyFill="1" applyBorder="1" applyAlignment="1">
      <alignment vertical="top" wrapText="1"/>
    </xf>
    <xf numFmtId="3" fontId="0" fillId="0" borderId="0" xfId="0" applyNumberFormat="1" applyFont="1" applyFill="1" applyBorder="1" applyAlignment="1">
      <alignment horizontal="center" vertical="center"/>
    </xf>
    <xf numFmtId="0" fontId="7" fillId="0" borderId="0" xfId="0" applyFont="1" applyAlignment="1" quotePrefix="1">
      <alignment/>
    </xf>
    <xf numFmtId="0" fontId="0" fillId="7" borderId="10" xfId="0" applyFont="1" applyFill="1" applyBorder="1" applyAlignment="1">
      <alignment vertical="center" wrapText="1"/>
    </xf>
    <xf numFmtId="0" fontId="12" fillId="0" borderId="10" xfId="0" applyFont="1" applyBorder="1" applyAlignment="1">
      <alignment vertical="top"/>
    </xf>
    <xf numFmtId="3" fontId="0" fillId="22" borderId="13" xfId="0" applyNumberFormat="1" applyFont="1" applyFill="1" applyBorder="1" applyAlignment="1">
      <alignment horizontal="right" vertical="center" wrapText="1"/>
    </xf>
    <xf numFmtId="0" fontId="0" fillId="0" borderId="0" xfId="0" applyFill="1" applyAlignment="1">
      <alignment/>
    </xf>
    <xf numFmtId="0" fontId="0" fillId="7" borderId="10" xfId="0" applyFont="1" applyFill="1" applyBorder="1" applyAlignment="1">
      <alignment vertical="top" wrapText="1"/>
    </xf>
    <xf numFmtId="0" fontId="0" fillId="0" borderId="0" xfId="0" applyFont="1" applyFill="1" applyAlignment="1">
      <alignment/>
    </xf>
    <xf numFmtId="0" fontId="2" fillId="0" borderId="10" xfId="0" applyFont="1" applyFill="1" applyBorder="1" applyAlignment="1">
      <alignment horizontal="center" vertical="center" wrapText="1"/>
    </xf>
    <xf numFmtId="0" fontId="0" fillId="8" borderId="10" xfId="0" applyFont="1" applyFill="1" applyBorder="1" applyAlignment="1">
      <alignment vertical="top" wrapText="1"/>
    </xf>
    <xf numFmtId="3" fontId="0" fillId="8" borderId="10" xfId="0" applyNumberFormat="1" applyFont="1" applyFill="1" applyBorder="1" applyAlignment="1">
      <alignment horizontal="right" vertical="center"/>
    </xf>
    <xf numFmtId="0" fontId="4" fillId="0" borderId="0" xfId="0" applyFont="1" applyFill="1" applyBorder="1" applyAlignment="1">
      <alignment/>
    </xf>
    <xf numFmtId="0" fontId="2" fillId="0" borderId="10" xfId="0" applyFont="1" applyFill="1" applyBorder="1" applyAlignment="1">
      <alignment horizontal="center" vertical="center" wrapText="1"/>
    </xf>
    <xf numFmtId="0" fontId="4" fillId="7" borderId="27" xfId="0" applyFont="1" applyFill="1" applyBorder="1" applyAlignment="1">
      <alignment horizontal="center" vertical="center" wrapText="1"/>
    </xf>
    <xf numFmtId="3" fontId="4" fillId="7" borderId="23" xfId="0" applyNumberFormat="1" applyFont="1" applyFill="1" applyBorder="1" applyAlignment="1">
      <alignment horizontal="right" vertical="center"/>
    </xf>
    <xf numFmtId="9" fontId="0" fillId="7" borderId="28" xfId="0" applyNumberFormat="1" applyFill="1" applyBorder="1" applyAlignment="1">
      <alignment vertical="center"/>
    </xf>
    <xf numFmtId="0" fontId="4" fillId="8" borderId="11" xfId="0" applyFont="1" applyFill="1" applyBorder="1" applyAlignment="1">
      <alignment horizontal="center" vertical="center" wrapText="1"/>
    </xf>
    <xf numFmtId="9" fontId="0" fillId="8" borderId="12" xfId="0" applyNumberFormat="1" applyFill="1" applyBorder="1" applyAlignment="1">
      <alignment vertical="center"/>
    </xf>
    <xf numFmtId="0" fontId="4" fillId="22" borderId="11" xfId="0" applyFont="1" applyFill="1" applyBorder="1" applyAlignment="1">
      <alignment horizontal="center" vertical="center" wrapText="1"/>
    </xf>
    <xf numFmtId="9" fontId="0" fillId="22" borderId="12" xfId="0" applyNumberFormat="1" applyFill="1" applyBorder="1" applyAlignment="1">
      <alignment vertical="center"/>
    </xf>
    <xf numFmtId="0" fontId="5" fillId="14" borderId="16" xfId="0" applyFont="1" applyFill="1" applyBorder="1" applyAlignment="1">
      <alignment horizontal="center"/>
    </xf>
    <xf numFmtId="3" fontId="5" fillId="14" borderId="15" xfId="0" applyNumberFormat="1" applyFont="1" applyFill="1" applyBorder="1" applyAlignment="1">
      <alignment horizontal="right" vertical="center"/>
    </xf>
    <xf numFmtId="172" fontId="2" fillId="14" borderId="15" xfId="42" applyNumberFormat="1" applyFont="1" applyFill="1" applyBorder="1" applyAlignment="1">
      <alignment horizontal="right" vertical="center" wrapText="1"/>
    </xf>
    <xf numFmtId="9" fontId="2" fillId="14" borderId="22" xfId="0" applyNumberFormat="1" applyFont="1" applyFill="1" applyBorder="1" applyAlignment="1">
      <alignment vertical="center"/>
    </xf>
    <xf numFmtId="172" fontId="15" fillId="0" borderId="0" xfId="0" applyNumberFormat="1" applyFont="1" applyBorder="1" applyAlignment="1">
      <alignment/>
    </xf>
    <xf numFmtId="172" fontId="15" fillId="0" borderId="0" xfId="0" applyNumberFormat="1" applyFont="1" applyBorder="1" applyAlignment="1">
      <alignment horizontal="center"/>
    </xf>
    <xf numFmtId="172" fontId="15" fillId="0" borderId="0" xfId="0" applyNumberFormat="1" applyFont="1" applyBorder="1" applyAlignment="1">
      <alignment/>
    </xf>
    <xf numFmtId="0" fontId="15" fillId="0" borderId="0" xfId="0" applyFont="1" applyBorder="1" applyAlignment="1">
      <alignment/>
    </xf>
    <xf numFmtId="0" fontId="2" fillId="0" borderId="0" xfId="0" applyFont="1" applyAlignment="1">
      <alignment horizontal="center" vertical="center" wrapText="1"/>
    </xf>
    <xf numFmtId="172" fontId="0" fillId="7" borderId="10" xfId="42" applyNumberFormat="1" applyFont="1" applyFill="1" applyBorder="1" applyAlignment="1">
      <alignment horizontal="right" vertical="center" wrapText="1"/>
    </xf>
    <xf numFmtId="0" fontId="16" fillId="0" borderId="10" xfId="0" applyFont="1" applyBorder="1" applyAlignment="1">
      <alignment horizontal="center" vertical="center" wrapText="1"/>
    </xf>
    <xf numFmtId="0" fontId="15" fillId="7" borderId="10" xfId="0" applyFont="1" applyFill="1" applyBorder="1" applyAlignment="1">
      <alignment horizontal="left" vertical="center" wrapText="1"/>
    </xf>
    <xf numFmtId="172" fontId="16" fillId="7" borderId="10" xfId="42" applyNumberFormat="1" applyFont="1" applyFill="1" applyBorder="1" applyAlignment="1">
      <alignment horizontal="right" vertical="center" wrapText="1"/>
    </xf>
    <xf numFmtId="0" fontId="15" fillId="8" borderId="10" xfId="0" applyFont="1" applyFill="1" applyBorder="1" applyAlignment="1">
      <alignment horizontal="left" vertical="center" wrapText="1"/>
    </xf>
    <xf numFmtId="172" fontId="15" fillId="8" borderId="10" xfId="42" applyNumberFormat="1" applyFont="1" applyFill="1" applyBorder="1" applyAlignment="1">
      <alignment horizontal="right" vertical="center" wrapText="1"/>
    </xf>
    <xf numFmtId="172" fontId="16" fillId="0" borderId="10" xfId="42" applyNumberFormat="1" applyFont="1" applyFill="1" applyBorder="1" applyAlignment="1">
      <alignment horizontal="right" vertical="center" wrapText="1"/>
    </xf>
    <xf numFmtId="172" fontId="15" fillId="0" borderId="10" xfId="42" applyNumberFormat="1" applyFont="1" applyFill="1" applyBorder="1" applyAlignment="1">
      <alignment horizontal="right" vertical="center" wrapText="1"/>
    </xf>
    <xf numFmtId="0" fontId="15" fillId="25" borderId="10" xfId="0" applyFont="1" applyFill="1" applyBorder="1" applyAlignment="1">
      <alignment horizontal="left" vertical="center" wrapText="1"/>
    </xf>
    <xf numFmtId="172" fontId="16" fillId="25" borderId="10" xfId="42" applyNumberFormat="1" applyFont="1" applyFill="1" applyBorder="1" applyAlignment="1">
      <alignment horizontal="right" vertical="center" wrapText="1"/>
    </xf>
    <xf numFmtId="172" fontId="15" fillId="25" borderId="10" xfId="42" applyNumberFormat="1" applyFont="1" applyFill="1" applyBorder="1" applyAlignment="1">
      <alignment horizontal="right" vertical="center" wrapText="1"/>
    </xf>
    <xf numFmtId="0" fontId="15" fillId="0" borderId="10" xfId="0" applyFont="1" applyBorder="1" applyAlignment="1">
      <alignment vertical="top" wrapText="1"/>
    </xf>
    <xf numFmtId="0" fontId="15" fillId="20" borderId="10" xfId="0" applyFont="1" applyFill="1" applyBorder="1" applyAlignment="1">
      <alignment vertical="top" wrapText="1"/>
    </xf>
    <xf numFmtId="3" fontId="15" fillId="0" borderId="10" xfId="0" applyNumberFormat="1" applyFont="1" applyBorder="1" applyAlignment="1">
      <alignment vertical="top" wrapText="1"/>
    </xf>
    <xf numFmtId="3" fontId="15" fillId="20" borderId="10" xfId="0" applyNumberFormat="1" applyFont="1" applyFill="1" applyBorder="1" applyAlignment="1">
      <alignment vertical="top" wrapText="1"/>
    </xf>
    <xf numFmtId="4" fontId="15" fillId="0" borderId="10" xfId="0" applyNumberFormat="1" applyFont="1" applyBorder="1" applyAlignment="1">
      <alignment vertical="top" wrapText="1"/>
    </xf>
    <xf numFmtId="0" fontId="15" fillId="24" borderId="10" xfId="0" applyFont="1" applyFill="1" applyBorder="1" applyAlignment="1">
      <alignment vertical="top" wrapText="1"/>
    </xf>
    <xf numFmtId="0" fontId="0" fillId="20" borderId="10" xfId="0" applyFont="1" applyFill="1" applyBorder="1" applyAlignment="1">
      <alignment vertical="center" wrapText="1"/>
    </xf>
    <xf numFmtId="0" fontId="0" fillId="21" borderId="10" xfId="0" applyFont="1" applyFill="1" applyBorder="1" applyAlignment="1">
      <alignment vertical="center" wrapText="1"/>
    </xf>
    <xf numFmtId="3" fontId="0" fillId="21" borderId="10" xfId="0" applyNumberFormat="1" applyFont="1" applyFill="1" applyBorder="1" applyAlignment="1">
      <alignment vertical="center" wrapText="1"/>
    </xf>
    <xf numFmtId="0" fontId="0" fillId="21" borderId="12" xfId="0" applyFont="1" applyFill="1" applyBorder="1" applyAlignment="1">
      <alignment vertical="center" wrapText="1"/>
    </xf>
    <xf numFmtId="3" fontId="0" fillId="21" borderId="10" xfId="0" applyNumberFormat="1" applyFont="1" applyFill="1" applyBorder="1" applyAlignment="1">
      <alignment horizontal="left" vertical="center" wrapText="1"/>
    </xf>
    <xf numFmtId="0" fontId="4" fillId="21" borderId="10" xfId="0" applyFont="1" applyFill="1" applyBorder="1" applyAlignment="1">
      <alignment vertical="top" wrapText="1"/>
    </xf>
    <xf numFmtId="0" fontId="4" fillId="21" borderId="12"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Fill="1" applyBorder="1" applyAlignment="1">
      <alignment horizontal="justify" vertical="top" wrapText="1"/>
    </xf>
    <xf numFmtId="0" fontId="4" fillId="21" borderId="10" xfId="0" applyFont="1" applyFill="1" applyBorder="1" applyAlignment="1">
      <alignment horizontal="justify" vertical="top" wrapText="1"/>
    </xf>
    <xf numFmtId="0" fontId="4" fillId="21" borderId="10" xfId="0" applyFont="1" applyFill="1" applyBorder="1" applyAlignment="1">
      <alignment horizontal="right" vertical="top" wrapText="1"/>
    </xf>
    <xf numFmtId="3" fontId="0" fillId="8" borderId="13" xfId="0" applyNumberFormat="1" applyFont="1" applyFill="1" applyBorder="1" applyAlignment="1">
      <alignment horizontal="right" vertical="center" wrapText="1"/>
    </xf>
    <xf numFmtId="0" fontId="0" fillId="24" borderId="10" xfId="0" applyFont="1" applyFill="1" applyBorder="1" applyAlignment="1">
      <alignment vertical="center" wrapText="1"/>
    </xf>
    <xf numFmtId="0" fontId="0" fillId="24" borderId="12" xfId="0" applyFont="1" applyFill="1" applyBorder="1" applyAlignment="1">
      <alignment vertical="center" wrapText="1"/>
    </xf>
    <xf numFmtId="3" fontId="0" fillId="24" borderId="13" xfId="0" applyNumberFormat="1" applyFont="1" applyFill="1" applyBorder="1" applyAlignment="1">
      <alignment vertical="center" wrapText="1"/>
    </xf>
    <xf numFmtId="0" fontId="0" fillId="21" borderId="13" xfId="0" applyFont="1" applyFill="1" applyBorder="1" applyAlignment="1">
      <alignment wrapText="1"/>
    </xf>
    <xf numFmtId="0" fontId="0" fillId="24" borderId="13" xfId="0" applyFont="1" applyFill="1" applyBorder="1" applyAlignment="1">
      <alignment wrapText="1"/>
    </xf>
    <xf numFmtId="0" fontId="0" fillId="21" borderId="14" xfId="0" applyFont="1" applyFill="1" applyBorder="1" applyAlignment="1">
      <alignment vertical="center" wrapText="1"/>
    </xf>
    <xf numFmtId="0" fontId="0" fillId="24" borderId="10" xfId="0" applyFont="1" applyFill="1" applyBorder="1" applyAlignment="1">
      <alignment horizontal="justify" vertical="top" wrapText="1"/>
    </xf>
    <xf numFmtId="3" fontId="0" fillId="8" borderId="10" xfId="0" applyNumberFormat="1" applyFont="1" applyFill="1" applyBorder="1" applyAlignment="1">
      <alignment vertical="top" wrapText="1"/>
    </xf>
    <xf numFmtId="0" fontId="0" fillId="0" borderId="0" xfId="0" applyAlignment="1">
      <alignment horizontal="center" wrapText="1"/>
    </xf>
    <xf numFmtId="0" fontId="4" fillId="0" borderId="0" xfId="0" applyFont="1" applyAlignment="1">
      <alignment horizontal="center" wrapText="1"/>
    </xf>
    <xf numFmtId="3" fontId="0" fillId="4" borderId="10" xfId="0" applyNumberFormat="1" applyFont="1" applyFill="1" applyBorder="1" applyAlignment="1">
      <alignment horizontal="right" vertical="center"/>
    </xf>
    <xf numFmtId="0" fontId="12" fillId="4" borderId="10" xfId="0" applyFont="1" applyFill="1" applyBorder="1" applyAlignment="1">
      <alignment horizontal="left"/>
    </xf>
    <xf numFmtId="0" fontId="12" fillId="4" borderId="24" xfId="0" applyFont="1" applyFill="1" applyBorder="1" applyAlignment="1">
      <alignment horizontal="left"/>
    </xf>
    <xf numFmtId="0" fontId="12" fillId="21" borderId="10" xfId="0" applyFont="1" applyFill="1" applyBorder="1" applyAlignment="1">
      <alignment horizontal="left"/>
    </xf>
    <xf numFmtId="0" fontId="12" fillId="0" borderId="24" xfId="0" applyFont="1" applyBorder="1" applyAlignment="1">
      <alignment horizontal="left"/>
    </xf>
    <xf numFmtId="0" fontId="12" fillId="0" borderId="10" xfId="0" applyFont="1" applyFill="1" applyBorder="1" applyAlignment="1">
      <alignment horizontal="left"/>
    </xf>
    <xf numFmtId="0" fontId="12" fillId="21" borderId="24" xfId="0" applyFont="1" applyFill="1" applyBorder="1" applyAlignment="1">
      <alignment horizontal="left"/>
    </xf>
    <xf numFmtId="3" fontId="0" fillId="0" borderId="29" xfId="0" applyNumberFormat="1" applyFont="1" applyFill="1" applyBorder="1" applyAlignment="1">
      <alignment vertical="center" wrapText="1"/>
    </xf>
    <xf numFmtId="0" fontId="8" fillId="21" borderId="10" xfId="0" applyFont="1" applyFill="1" applyBorder="1" applyAlignment="1">
      <alignment horizontal="center" vertical="center" wrapText="1"/>
    </xf>
    <xf numFmtId="0" fontId="7" fillId="21"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3" fontId="0" fillId="8" borderId="13" xfId="0" applyNumberFormat="1" applyFont="1" applyFill="1" applyBorder="1" applyAlignment="1">
      <alignment horizontal="right" vertical="center" wrapText="1"/>
    </xf>
    <xf numFmtId="0" fontId="0" fillId="4" borderId="11" xfId="0" applyFont="1" applyFill="1" applyBorder="1" applyAlignment="1">
      <alignment vertical="top" wrapText="1"/>
    </xf>
    <xf numFmtId="0" fontId="12" fillId="4" borderId="10" xfId="0" applyFont="1" applyFill="1" applyBorder="1" applyAlignment="1">
      <alignment vertical="top"/>
    </xf>
    <xf numFmtId="0" fontId="12" fillId="4" borderId="24" xfId="0" applyFont="1" applyFill="1" applyBorder="1" applyAlignment="1">
      <alignment vertical="top"/>
    </xf>
    <xf numFmtId="0" fontId="7" fillId="0" borderId="29" xfId="0" applyFont="1" applyFill="1" applyBorder="1" applyAlignment="1">
      <alignment horizontal="center" vertical="center"/>
    </xf>
    <xf numFmtId="0" fontId="4" fillId="24" borderId="0" xfId="0" applyFont="1" applyFill="1" applyAlignment="1">
      <alignment horizontal="center" wrapText="1"/>
    </xf>
    <xf numFmtId="3" fontId="4" fillId="0" borderId="0" xfId="0" applyNumberFormat="1" applyFont="1" applyAlignment="1">
      <alignment horizontal="center" wrapText="1"/>
    </xf>
    <xf numFmtId="0" fontId="7" fillId="0" borderId="0" xfId="0" applyFont="1" applyAlignment="1">
      <alignment horizontal="center" wrapText="1"/>
    </xf>
    <xf numFmtId="2" fontId="0" fillId="0" borderId="0" xfId="0" applyNumberFormat="1" applyFont="1" applyFill="1" applyBorder="1" applyAlignment="1">
      <alignment horizontal="left" vertical="center" wrapText="1"/>
    </xf>
    <xf numFmtId="3" fontId="0" fillId="0" borderId="0" xfId="0" applyNumberFormat="1" applyFont="1" applyFill="1" applyBorder="1" applyAlignment="1">
      <alignment horizontal="right"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center" wrapText="1"/>
    </xf>
    <xf numFmtId="3"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wrapText="1"/>
    </xf>
    <xf numFmtId="3" fontId="0" fillId="0" borderId="0" xfId="0" applyNumberFormat="1" applyFont="1" applyFill="1" applyBorder="1" applyAlignment="1">
      <alignment horizontal="right" vertical="center" wrapText="1"/>
    </xf>
    <xf numFmtId="0" fontId="8"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3" fontId="0" fillId="7" borderId="10" xfId="0" applyNumberFormat="1" applyFont="1" applyFill="1" applyBorder="1" applyAlignment="1">
      <alignment horizontal="right" vertical="top" wrapText="1"/>
    </xf>
    <xf numFmtId="3" fontId="0" fillId="26" borderId="10" xfId="0" applyNumberFormat="1" applyFont="1" applyFill="1" applyBorder="1" applyAlignment="1">
      <alignment horizontal="right" vertical="top" wrapText="1"/>
    </xf>
    <xf numFmtId="3" fontId="0" fillId="0" borderId="10" xfId="0" applyNumberFormat="1" applyFont="1" applyFill="1" applyBorder="1" applyAlignment="1">
      <alignment horizontal="right" vertical="center" wrapText="1"/>
    </xf>
    <xf numFmtId="174" fontId="0" fillId="26" borderId="0" xfId="0" applyNumberFormat="1" applyFont="1" applyFill="1" applyAlignment="1">
      <alignment horizontal="right" vertical="center" wrapText="1"/>
    </xf>
    <xf numFmtId="0" fontId="7" fillId="21" borderId="10" xfId="0" applyFont="1" applyFill="1" applyBorder="1" applyAlignment="1">
      <alignment horizontal="center" vertical="center" wrapText="1"/>
    </xf>
    <xf numFmtId="3" fontId="0" fillId="4" borderId="25" xfId="0" applyNumberFormat="1" applyFont="1" applyFill="1" applyBorder="1" applyAlignment="1">
      <alignment horizontal="right" vertical="center" wrapText="1"/>
    </xf>
    <xf numFmtId="0" fontId="0" fillId="8" borderId="10" xfId="0" applyFont="1" applyFill="1" applyBorder="1" applyAlignment="1">
      <alignment horizontal="center" vertical="center" wrapText="1"/>
    </xf>
    <xf numFmtId="3" fontId="0" fillId="8" borderId="14" xfId="0" applyNumberFormat="1" applyFont="1" applyFill="1" applyBorder="1" applyAlignment="1">
      <alignment horizontal="right" vertical="center"/>
    </xf>
    <xf numFmtId="0" fontId="12" fillId="0" borderId="14" xfId="0" applyFont="1" applyFill="1" applyBorder="1" applyAlignment="1">
      <alignment horizontal="center"/>
    </xf>
    <xf numFmtId="0" fontId="12" fillId="20" borderId="14" xfId="0" applyFont="1" applyFill="1" applyBorder="1" applyAlignment="1">
      <alignment horizontal="center"/>
    </xf>
    <xf numFmtId="0" fontId="12" fillId="20" borderId="14" xfId="0" applyFont="1" applyFill="1" applyBorder="1" applyAlignment="1">
      <alignment horizontal="left"/>
    </xf>
    <xf numFmtId="0" fontId="12" fillId="0" borderId="14" xfId="0" applyFont="1" applyFill="1" applyBorder="1" applyAlignment="1">
      <alignment horizontal="left"/>
    </xf>
    <xf numFmtId="0" fontId="8" fillId="0" borderId="14" xfId="0" applyFont="1" applyFill="1" applyBorder="1" applyAlignment="1">
      <alignment horizontal="center" vertical="center" wrapText="1"/>
    </xf>
    <xf numFmtId="0" fontId="0" fillId="22" borderId="10" xfId="0" applyFont="1" applyFill="1" applyBorder="1" applyAlignment="1">
      <alignment vertical="top" wrapText="1"/>
    </xf>
    <xf numFmtId="0" fontId="14" fillId="21" borderId="10" xfId="0" applyFont="1" applyFill="1" applyBorder="1" applyAlignment="1">
      <alignment horizontal="center" vertical="center"/>
    </xf>
    <xf numFmtId="0" fontId="8" fillId="21" borderId="10" xfId="0" applyFont="1" applyFill="1" applyBorder="1" applyAlignment="1">
      <alignment horizontal="center" vertical="center" wrapText="1"/>
    </xf>
    <xf numFmtId="3" fontId="0" fillId="3" borderId="10" xfId="0" applyNumberFormat="1" applyFont="1" applyFill="1" applyBorder="1" applyAlignment="1">
      <alignment horizontal="right" vertical="center" wrapText="1"/>
    </xf>
    <xf numFmtId="172" fontId="25" fillId="7" borderId="10" xfId="42" applyNumberFormat="1" applyFont="1" applyFill="1" applyBorder="1" applyAlignment="1">
      <alignment horizontal="right" vertical="center" wrapText="1"/>
    </xf>
    <xf numFmtId="0" fontId="20" fillId="0" borderId="10" xfId="0" applyFont="1" applyFill="1" applyBorder="1" applyAlignment="1">
      <alignment/>
    </xf>
    <xf numFmtId="0" fontId="20" fillId="20" borderId="10" xfId="0" applyFont="1" applyFill="1" applyBorder="1" applyAlignment="1">
      <alignment/>
    </xf>
    <xf numFmtId="0" fontId="15" fillId="0" borderId="10" xfId="0" applyFont="1" applyBorder="1" applyAlignment="1">
      <alignment/>
    </xf>
    <xf numFmtId="0" fontId="15" fillId="0" borderId="10" xfId="0" applyFont="1" applyFill="1" applyBorder="1" applyAlignment="1">
      <alignment/>
    </xf>
    <xf numFmtId="0" fontId="15" fillId="20" borderId="10" xfId="0" applyFont="1" applyFill="1" applyBorder="1" applyAlignment="1">
      <alignment/>
    </xf>
    <xf numFmtId="0" fontId="15" fillId="20" borderId="10" xfId="0" applyFont="1" applyFill="1" applyBorder="1" applyAlignment="1">
      <alignment vertical="center" wrapText="1"/>
    </xf>
    <xf numFmtId="0" fontId="15" fillId="0" borderId="10" xfId="0" applyFont="1" applyBorder="1" applyAlignment="1">
      <alignment vertical="center" wrapText="1"/>
    </xf>
    <xf numFmtId="172" fontId="0" fillId="7" borderId="10" xfId="42" applyNumberFormat="1" applyFont="1" applyFill="1" applyBorder="1" applyAlignment="1">
      <alignment horizontal="right" vertical="center" wrapText="1"/>
    </xf>
    <xf numFmtId="0" fontId="2" fillId="20" borderId="10" xfId="0" applyFont="1" applyFill="1" applyBorder="1" applyAlignment="1">
      <alignment/>
    </xf>
    <xf numFmtId="4" fontId="2" fillId="2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5" fillId="0" borderId="10" xfId="0" applyFont="1" applyBorder="1" applyAlignment="1">
      <alignment vertical="center"/>
    </xf>
    <xf numFmtId="0" fontId="8" fillId="20" borderId="10" xfId="0" applyFont="1" applyFill="1" applyBorder="1" applyAlignment="1">
      <alignment horizontal="center" vertical="center" wrapText="1"/>
    </xf>
    <xf numFmtId="0" fontId="7" fillId="20" borderId="10" xfId="0" applyFont="1" applyFill="1" applyBorder="1" applyAlignment="1">
      <alignment horizontal="center" vertical="center" wrapText="1"/>
    </xf>
    <xf numFmtId="0" fontId="2" fillId="20" borderId="10" xfId="0" applyFont="1" applyFill="1" applyBorder="1" applyAlignment="1">
      <alignment/>
    </xf>
    <xf numFmtId="0" fontId="8" fillId="20" borderId="10" xfId="0" applyFont="1" applyFill="1" applyBorder="1" applyAlignment="1">
      <alignment/>
    </xf>
    <xf numFmtId="0" fontId="2" fillId="0" borderId="10" xfId="0" applyFont="1" applyFill="1" applyBorder="1" applyAlignment="1">
      <alignment/>
    </xf>
    <xf numFmtId="0" fontId="8" fillId="0" borderId="10" xfId="0" applyFont="1" applyFill="1" applyBorder="1" applyAlignment="1">
      <alignment horizontal="center" vertical="center" wrapText="1"/>
    </xf>
    <xf numFmtId="0" fontId="8" fillId="20" borderId="10" xfId="0" applyFont="1" applyFill="1" applyBorder="1" applyAlignment="1">
      <alignment horizontal="center" vertical="center" wrapText="1"/>
    </xf>
    <xf numFmtId="0" fontId="7" fillId="0" borderId="10" xfId="0" applyFont="1" applyBorder="1" applyAlignment="1">
      <alignment horizontal="center" vertical="center" wrapText="1"/>
    </xf>
    <xf numFmtId="172" fontId="0" fillId="25" borderId="30" xfId="42" applyNumberFormat="1" applyFont="1" applyFill="1" applyBorder="1" applyAlignment="1">
      <alignment horizontal="right" vertical="center" wrapText="1"/>
    </xf>
    <xf numFmtId="0" fontId="15" fillId="0" borderId="30" xfId="0" applyFont="1" applyBorder="1" applyAlignment="1">
      <alignment/>
    </xf>
    <xf numFmtId="3" fontId="2" fillId="7" borderId="15" xfId="0" applyNumberFormat="1" applyFont="1" applyFill="1" applyBorder="1" applyAlignment="1">
      <alignment horizontal="center" vertical="center" wrapText="1"/>
    </xf>
    <xf numFmtId="172" fontId="2" fillId="7" borderId="15" xfId="42" applyNumberFormat="1" applyFont="1" applyFill="1" applyBorder="1" applyAlignment="1">
      <alignment horizontal="right" vertical="center" wrapText="1"/>
    </xf>
    <xf numFmtId="0" fontId="15" fillId="0" borderId="15" xfId="0" applyFont="1" applyBorder="1" applyAlignment="1">
      <alignment/>
    </xf>
    <xf numFmtId="3" fontId="2" fillId="8" borderId="23" xfId="0" applyNumberFormat="1" applyFont="1" applyFill="1" applyBorder="1" applyAlignment="1">
      <alignment horizontal="center" vertical="center" wrapText="1"/>
    </xf>
    <xf numFmtId="172" fontId="0" fillId="8" borderId="10" xfId="42" applyNumberFormat="1" applyFont="1" applyFill="1" applyBorder="1" applyAlignment="1">
      <alignment horizontal="right" vertical="center" wrapText="1"/>
    </xf>
    <xf numFmtId="3" fontId="7"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20" borderId="10" xfId="0" applyFont="1" applyFill="1" applyBorder="1" applyAlignment="1">
      <alignment vertical="center"/>
    </xf>
    <xf numFmtId="0" fontId="8" fillId="20" borderId="10" xfId="0" applyFont="1" applyFill="1" applyBorder="1" applyAlignment="1">
      <alignment horizontal="center" vertical="center"/>
    </xf>
    <xf numFmtId="0" fontId="22" fillId="0" borderId="10" xfId="0" applyFont="1" applyFill="1" applyBorder="1" applyAlignment="1">
      <alignment horizontal="center"/>
    </xf>
    <xf numFmtId="0" fontId="7" fillId="20" borderId="10" xfId="0" applyFont="1" applyFill="1" applyBorder="1" applyAlignment="1">
      <alignment horizontal="center" vertical="center" wrapText="1"/>
    </xf>
    <xf numFmtId="0" fontId="8" fillId="20" borderId="10" xfId="0" applyFont="1" applyFill="1" applyBorder="1" applyAlignment="1">
      <alignment horizontal="center" vertical="center" wrapText="1"/>
    </xf>
    <xf numFmtId="172" fontId="7" fillId="8" borderId="10" xfId="42" applyNumberFormat="1" applyFont="1" applyFill="1" applyBorder="1" applyAlignment="1">
      <alignment horizontal="right" vertical="center" wrapText="1"/>
    </xf>
    <xf numFmtId="0" fontId="8" fillId="0" borderId="10" xfId="0" applyFont="1" applyFill="1" applyBorder="1" applyAlignment="1">
      <alignment horizontal="center" vertical="center" wrapText="1"/>
    </xf>
    <xf numFmtId="172" fontId="55" fillId="8" borderId="10" xfId="42" applyNumberFormat="1" applyFont="1" applyFill="1" applyBorder="1" applyAlignment="1">
      <alignment horizontal="right" vertical="center" wrapText="1"/>
    </xf>
    <xf numFmtId="0" fontId="24" fillId="2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7" fillId="20" borderId="10"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20" borderId="10" xfId="0" applyFill="1" applyBorder="1" applyAlignment="1">
      <alignment horizontal="center" vertical="center" wrapText="1"/>
    </xf>
    <xf numFmtId="0" fontId="0" fillId="0" borderId="10" xfId="0" applyFill="1" applyBorder="1" applyAlignment="1">
      <alignment horizontal="center" vertical="center" wrapText="1"/>
    </xf>
    <xf numFmtId="0" fontId="2" fillId="8" borderId="16" xfId="0" applyFont="1" applyFill="1" applyBorder="1" applyAlignment="1">
      <alignment horizontal="center" vertical="center" wrapText="1"/>
    </xf>
    <xf numFmtId="172" fontId="2" fillId="8" borderId="15" xfId="42" applyNumberFormat="1" applyFont="1" applyFill="1" applyBorder="1" applyAlignment="1">
      <alignment horizontal="right" vertical="center" wrapText="1"/>
    </xf>
    <xf numFmtId="0" fontId="0" fillId="0" borderId="15" xfId="0" applyFill="1" applyBorder="1" applyAlignment="1">
      <alignment horizontal="center" vertical="center" wrapText="1"/>
    </xf>
    <xf numFmtId="0" fontId="2" fillId="22" borderId="10" xfId="0" applyFont="1" applyFill="1" applyBorder="1" applyAlignment="1">
      <alignment horizontal="center" vertical="center" wrapText="1"/>
    </xf>
    <xf numFmtId="0" fontId="2" fillId="20" borderId="10" xfId="0" applyFont="1" applyFill="1" applyBorder="1" applyAlignment="1">
      <alignment horizontal="center" vertical="center" wrapText="1"/>
    </xf>
    <xf numFmtId="172" fontId="0" fillId="22" borderId="10" xfId="42" applyNumberFormat="1" applyFont="1" applyFill="1" applyBorder="1" applyAlignment="1">
      <alignment horizontal="right" vertical="center" wrapText="1"/>
    </xf>
    <xf numFmtId="0" fontId="7" fillId="20" borderId="10" xfId="0" applyFont="1" applyFill="1" applyBorder="1" applyAlignment="1">
      <alignment horizontal="center" vertical="center"/>
    </xf>
    <xf numFmtId="0" fontId="7" fillId="20" borderId="31" xfId="0" applyFont="1" applyFill="1" applyBorder="1" applyAlignment="1">
      <alignment horizontal="center" vertical="center"/>
    </xf>
    <xf numFmtId="0" fontId="7" fillId="0" borderId="31" xfId="0" applyFont="1" applyFill="1" applyBorder="1" applyAlignment="1">
      <alignment horizontal="center" vertical="center"/>
    </xf>
    <xf numFmtId="0" fontId="2" fillId="22" borderId="32" xfId="0" applyFont="1" applyFill="1" applyBorder="1" applyAlignment="1">
      <alignment horizontal="center" vertical="center" wrapText="1"/>
    </xf>
    <xf numFmtId="0" fontId="2" fillId="22" borderId="31" xfId="0" applyFont="1" applyFill="1" applyBorder="1" applyAlignment="1">
      <alignment horizontal="center" vertical="center" wrapText="1"/>
    </xf>
    <xf numFmtId="172" fontId="2" fillId="22" borderId="33" xfId="42" applyNumberFormat="1" applyFont="1" applyFill="1" applyBorder="1" applyAlignment="1">
      <alignment horizontal="right" vertical="center" wrapText="1"/>
    </xf>
    <xf numFmtId="0" fontId="7" fillId="0" borderId="34" xfId="0" applyFont="1" applyFill="1" applyBorder="1" applyAlignment="1">
      <alignment horizontal="center" vertical="center"/>
    </xf>
    <xf numFmtId="172" fontId="2" fillId="14" borderId="19" xfId="42" applyNumberFormat="1" applyFont="1" applyFill="1" applyBorder="1" applyAlignment="1">
      <alignment horizontal="right" vertical="center" wrapText="1"/>
    </xf>
    <xf numFmtId="0" fontId="7" fillId="0" borderId="35" xfId="0" applyFont="1" applyFill="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0" fillId="0" borderId="11" xfId="0" applyFont="1" applyFill="1" applyBorder="1" applyAlignment="1">
      <alignment horizontal="center" vertical="center" wrapText="1"/>
    </xf>
    <xf numFmtId="0" fontId="0" fillId="0" borderId="10" xfId="0" applyFont="1" applyFill="1" applyBorder="1" applyAlignment="1">
      <alignment vertical="center" wrapText="1"/>
    </xf>
    <xf numFmtId="172" fontId="0" fillId="19" borderId="10" xfId="42" applyNumberFormat="1" applyFont="1" applyFill="1" applyBorder="1" applyAlignment="1">
      <alignment horizontal="right" vertical="center" wrapText="1"/>
    </xf>
    <xf numFmtId="0" fontId="15" fillId="0" borderId="10" xfId="0" applyFont="1" applyBorder="1" applyAlignment="1">
      <alignment/>
    </xf>
    <xf numFmtId="0" fontId="15" fillId="0" borderId="12" xfId="0" applyFont="1" applyBorder="1" applyAlignment="1">
      <alignment/>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172" fontId="2" fillId="0" borderId="15" xfId="42" applyNumberFormat="1" applyFont="1" applyFill="1" applyBorder="1" applyAlignment="1">
      <alignment horizontal="right" vertical="center" wrapText="1"/>
    </xf>
    <xf numFmtId="0" fontId="15" fillId="0" borderId="22" xfId="0" applyFont="1" applyBorder="1" applyAlignment="1">
      <alignment/>
    </xf>
    <xf numFmtId="0" fontId="5" fillId="0" borderId="0" xfId="0" applyFont="1" applyAlignment="1">
      <alignment horizontal="center"/>
    </xf>
    <xf numFmtId="0" fontId="0" fillId="0" borderId="10" xfId="0" applyFont="1" applyFill="1" applyBorder="1" applyAlignment="1">
      <alignment horizontal="center" vertical="center" wrapText="1"/>
    </xf>
    <xf numFmtId="0" fontId="0" fillId="7" borderId="10" xfId="0" applyNumberFormat="1" applyFont="1" applyFill="1" applyBorder="1" applyAlignment="1">
      <alignment vertical="top" wrapText="1"/>
    </xf>
    <xf numFmtId="3" fontId="0" fillId="11" borderId="10" xfId="0" applyNumberFormat="1" applyFont="1" applyFill="1" applyBorder="1" applyAlignment="1">
      <alignment horizontal="right" vertical="top" wrapText="1"/>
    </xf>
    <xf numFmtId="0" fontId="8" fillId="24" borderId="10" xfId="0" applyFont="1" applyFill="1" applyBorder="1" applyAlignment="1">
      <alignment horizontal="center" vertical="top" wrapText="1"/>
    </xf>
    <xf numFmtId="0" fontId="8" fillId="25" borderId="10"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24" xfId="0" applyFont="1" applyFill="1" applyBorder="1" applyAlignment="1">
      <alignment horizontal="center" vertical="top" wrapText="1"/>
    </xf>
    <xf numFmtId="0" fontId="7" fillId="0" borderId="10" xfId="0" applyFont="1" applyBorder="1" applyAlignment="1">
      <alignment vertical="top" wrapText="1"/>
    </xf>
    <xf numFmtId="3" fontId="3" fillId="24" borderId="10" xfId="0" applyNumberFormat="1" applyFont="1" applyFill="1" applyBorder="1" applyAlignment="1">
      <alignment horizontal="right" vertical="top" wrapText="1"/>
    </xf>
    <xf numFmtId="3" fontId="0" fillId="7" borderId="10" xfId="0" applyNumberFormat="1" applyFont="1" applyFill="1" applyBorder="1" applyAlignment="1">
      <alignment vertical="top" wrapText="1"/>
    </xf>
    <xf numFmtId="0" fontId="0" fillId="24" borderId="10" xfId="0" applyFont="1" applyFill="1" applyBorder="1" applyAlignment="1">
      <alignment vertical="top" wrapText="1"/>
    </xf>
    <xf numFmtId="0" fontId="25" fillId="7" borderId="10" xfId="0" applyFont="1" applyFill="1" applyBorder="1" applyAlignment="1">
      <alignment vertical="top" wrapText="1"/>
    </xf>
    <xf numFmtId="0" fontId="0" fillId="24" borderId="0" xfId="0" applyFont="1" applyFill="1" applyAlignment="1">
      <alignment/>
    </xf>
    <xf numFmtId="0" fontId="0" fillId="9" borderId="0" xfId="0" applyFont="1" applyFill="1" applyAlignment="1">
      <alignment/>
    </xf>
    <xf numFmtId="3" fontId="0" fillId="11" borderId="10" xfId="0" applyNumberFormat="1" applyFont="1" applyFill="1" applyBorder="1" applyAlignment="1">
      <alignment horizontal="right" vertical="top" wrapText="1"/>
    </xf>
    <xf numFmtId="3" fontId="3" fillId="0" borderId="13" xfId="0" applyNumberFormat="1" applyFont="1" applyFill="1" applyBorder="1" applyAlignment="1">
      <alignment horizontal="right" vertical="top"/>
    </xf>
    <xf numFmtId="0" fontId="7" fillId="9" borderId="10" xfId="0" applyNumberFormat="1" applyFont="1" applyFill="1" applyBorder="1" applyAlignment="1">
      <alignment horizontal="left" vertical="top" wrapText="1"/>
    </xf>
    <xf numFmtId="3" fontId="7" fillId="24" borderId="10" xfId="0" applyNumberFormat="1" applyFont="1" applyFill="1" applyBorder="1" applyAlignment="1">
      <alignment horizontal="center" vertical="top" wrapText="1"/>
    </xf>
    <xf numFmtId="0" fontId="7" fillId="9" borderId="10" xfId="0" applyFont="1" applyFill="1" applyBorder="1" applyAlignment="1">
      <alignment horizontal="left" vertical="center" wrapText="1"/>
    </xf>
    <xf numFmtId="0" fontId="3" fillId="0" borderId="10" xfId="0" applyFont="1" applyBorder="1" applyAlignment="1">
      <alignment/>
    </xf>
    <xf numFmtId="0" fontId="8" fillId="0" borderId="24"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0" fillId="0" borderId="10" xfId="0" applyFont="1" applyBorder="1" applyAlignment="1">
      <alignment/>
    </xf>
    <xf numFmtId="3" fontId="0" fillId="24" borderId="10" xfId="0" applyNumberFormat="1" applyFont="1" applyFill="1" applyBorder="1" applyAlignment="1">
      <alignment horizontal="right" vertical="top" wrapText="1"/>
    </xf>
    <xf numFmtId="3" fontId="0" fillId="11" borderId="13" xfId="0" applyNumberFormat="1" applyFont="1" applyFill="1" applyBorder="1" applyAlignment="1">
      <alignment horizontal="right" vertical="top" wrapText="1"/>
    </xf>
    <xf numFmtId="0" fontId="0" fillId="11" borderId="10" xfId="0" applyNumberFormat="1" applyFont="1" applyFill="1" applyBorder="1" applyAlignment="1">
      <alignment horizontal="left" vertical="top" wrapText="1"/>
    </xf>
    <xf numFmtId="3" fontId="3" fillId="24" borderId="10" xfId="0" applyNumberFormat="1" applyFont="1" applyFill="1" applyBorder="1" applyAlignment="1">
      <alignment horizontal="right" vertical="top" wrapText="1"/>
    </xf>
    <xf numFmtId="3" fontId="3" fillId="0" borderId="10" xfId="0" applyNumberFormat="1" applyFont="1" applyFill="1" applyBorder="1" applyAlignment="1">
      <alignment horizontal="right" vertical="top" wrapText="1"/>
    </xf>
    <xf numFmtId="0" fontId="3" fillId="0" borderId="10" xfId="0" applyFont="1" applyBorder="1" applyAlignment="1">
      <alignment/>
    </xf>
    <xf numFmtId="0" fontId="4" fillId="0" borderId="0" xfId="0" applyFont="1" applyBorder="1" applyAlignment="1">
      <alignment vertical="center" wrapText="1"/>
    </xf>
    <xf numFmtId="3" fontId="0" fillId="8" borderId="10" xfId="0" applyNumberFormat="1" applyFont="1" applyFill="1" applyBorder="1" applyAlignment="1">
      <alignment horizontal="right" vertical="top" wrapText="1"/>
    </xf>
    <xf numFmtId="0" fontId="7" fillId="0" borderId="10" xfId="0" applyFont="1" applyBorder="1" applyAlignment="1">
      <alignment vertical="center" wrapText="1"/>
    </xf>
    <xf numFmtId="0" fontId="7" fillId="7" borderId="10" xfId="0" applyFont="1" applyFill="1" applyBorder="1" applyAlignment="1">
      <alignment vertical="top" wrapText="1"/>
    </xf>
    <xf numFmtId="3" fontId="7" fillId="7" borderId="10" xfId="0" applyNumberFormat="1" applyFont="1" applyFill="1" applyBorder="1" applyAlignment="1">
      <alignment vertical="top" wrapText="1"/>
    </xf>
    <xf numFmtId="0" fontId="12" fillId="24" borderId="10" xfId="0" applyFont="1" applyFill="1" applyBorder="1" applyAlignment="1">
      <alignment vertical="top"/>
    </xf>
    <xf numFmtId="0" fontId="12" fillId="25" borderId="10" xfId="0" applyFont="1" applyFill="1" applyBorder="1" applyAlignment="1">
      <alignment vertical="top"/>
    </xf>
    <xf numFmtId="0" fontId="7" fillId="24" borderId="10" xfId="0" applyFont="1" applyFill="1" applyBorder="1" applyAlignment="1">
      <alignment vertical="center" wrapText="1"/>
    </xf>
    <xf numFmtId="0" fontId="7" fillId="24" borderId="10" xfId="0" applyFont="1" applyFill="1" applyBorder="1" applyAlignment="1">
      <alignment vertical="top" wrapText="1"/>
    </xf>
    <xf numFmtId="0" fontId="12" fillId="0" borderId="24" xfId="0" applyFont="1" applyBorder="1" applyAlignment="1">
      <alignment vertical="top"/>
    </xf>
    <xf numFmtId="0" fontId="7" fillId="9" borderId="10" xfId="0" applyFont="1" applyFill="1" applyBorder="1" applyAlignment="1">
      <alignment horizontal="center" vertical="top" wrapText="1"/>
    </xf>
    <xf numFmtId="0" fontId="7" fillId="24" borderId="10" xfId="0" applyFont="1" applyFill="1" applyBorder="1" applyAlignment="1">
      <alignment horizontal="center" vertical="top" wrapText="1"/>
    </xf>
    <xf numFmtId="0" fontId="25" fillId="0" borderId="10" xfId="0" applyFont="1" applyBorder="1" applyAlignment="1">
      <alignment vertical="top" wrapText="1"/>
    </xf>
    <xf numFmtId="0" fontId="7" fillId="9" borderId="10" xfId="0" applyFont="1" applyFill="1" applyBorder="1" applyAlignment="1">
      <alignment horizontal="left" vertical="top" wrapText="1"/>
    </xf>
    <xf numFmtId="3" fontId="25" fillId="22" borderId="10" xfId="0" applyNumberFormat="1" applyFont="1" applyFill="1" applyBorder="1" applyAlignment="1">
      <alignment horizontal="right" vertical="center"/>
    </xf>
    <xf numFmtId="0" fontId="7" fillId="25" borderId="10" xfId="0" applyFont="1" applyFill="1" applyBorder="1" applyAlignment="1">
      <alignment horizontal="center" vertical="center"/>
    </xf>
    <xf numFmtId="3" fontId="25" fillId="22" borderId="13" xfId="0" applyNumberFormat="1" applyFont="1" applyFill="1" applyBorder="1" applyAlignment="1">
      <alignment horizontal="right" vertical="center" wrapText="1"/>
    </xf>
    <xf numFmtId="0" fontId="0" fillId="22" borderId="10" xfId="0" applyFont="1" applyFill="1" applyBorder="1" applyAlignment="1">
      <alignment horizontal="left" vertical="top" wrapText="1"/>
    </xf>
    <xf numFmtId="3" fontId="16" fillId="14" borderId="19" xfId="0" applyNumberFormat="1" applyFont="1" applyFill="1" applyBorder="1" applyAlignment="1">
      <alignment horizontal="right" vertical="center"/>
    </xf>
    <xf numFmtId="0" fontId="0" fillId="0" borderId="0" xfId="0" applyFont="1" applyAlignment="1">
      <alignment vertical="center" wrapText="1"/>
    </xf>
    <xf numFmtId="3" fontId="26" fillId="0" borderId="0" xfId="0" applyNumberFormat="1" applyFont="1" applyAlignment="1">
      <alignment/>
    </xf>
    <xf numFmtId="0" fontId="0" fillId="7" borderId="16" xfId="0" applyFont="1" applyFill="1" applyBorder="1" applyAlignment="1">
      <alignment vertical="justify"/>
    </xf>
    <xf numFmtId="0" fontId="58" fillId="8" borderId="11" xfId="0" applyFont="1" applyFill="1" applyBorder="1" applyAlignment="1">
      <alignment horizontal="center" vertical="center" wrapText="1"/>
    </xf>
    <xf numFmtId="3" fontId="58" fillId="8" borderId="10" xfId="0" applyNumberFormat="1" applyFont="1" applyFill="1" applyBorder="1" applyAlignment="1">
      <alignment horizontal="right" vertical="center" wrapText="1"/>
    </xf>
    <xf numFmtId="0" fontId="60"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8" fillId="0" borderId="0" xfId="0" applyFont="1" applyAlignment="1">
      <alignment/>
    </xf>
    <xf numFmtId="0" fontId="15" fillId="25" borderId="10" xfId="0" applyFont="1" applyFill="1" applyBorder="1" applyAlignment="1">
      <alignment wrapText="1"/>
    </xf>
    <xf numFmtId="0" fontId="16" fillId="0" borderId="10" xfId="0" applyFont="1" applyFill="1" applyBorder="1" applyAlignment="1">
      <alignment horizontal="center" vertical="center" wrapText="1"/>
    </xf>
    <xf numFmtId="3" fontId="15" fillId="0" borderId="10" xfId="0" applyNumberFormat="1" applyFont="1" applyBorder="1" applyAlignment="1">
      <alignment horizontal="right" vertical="center" wrapText="1"/>
    </xf>
    <xf numFmtId="3" fontId="15" fillId="0" borderId="10" xfId="0" applyNumberFormat="1" applyFont="1" applyBorder="1" applyAlignment="1">
      <alignment vertical="center" wrapText="1"/>
    </xf>
    <xf numFmtId="0" fontId="15" fillId="25" borderId="10" xfId="0" applyFont="1" applyFill="1" applyBorder="1" applyAlignment="1">
      <alignment vertical="top" wrapText="1"/>
    </xf>
    <xf numFmtId="0" fontId="0" fillId="22" borderId="11" xfId="0" applyFont="1" applyFill="1" applyBorder="1" applyAlignment="1">
      <alignment horizontal="justify" vertical="top" wrapText="1"/>
    </xf>
    <xf numFmtId="0" fontId="15" fillId="0" borderId="12" xfId="0" applyFont="1" applyBorder="1" applyAlignment="1">
      <alignment vertical="center" wrapText="1"/>
    </xf>
    <xf numFmtId="0" fontId="2" fillId="20" borderId="12" xfId="0" applyFont="1" applyFill="1" applyBorder="1" applyAlignment="1">
      <alignment/>
    </xf>
    <xf numFmtId="4" fontId="2" fillId="0" borderId="12" xfId="0" applyNumberFormat="1" applyFont="1" applyFill="1" applyBorder="1" applyAlignment="1">
      <alignment horizontal="center" vertical="center" wrapText="1"/>
    </xf>
    <xf numFmtId="0" fontId="15" fillId="0" borderId="12" xfId="0" applyFont="1" applyBorder="1" applyAlignment="1">
      <alignment vertical="center"/>
    </xf>
    <xf numFmtId="0" fontId="7" fillId="20" borderId="12" xfId="0" applyFont="1" applyFill="1" applyBorder="1" applyAlignment="1">
      <alignment horizontal="center" vertical="center" wrapText="1"/>
    </xf>
    <xf numFmtId="0" fontId="2" fillId="0" borderId="12" xfId="0" applyFont="1" applyFill="1" applyBorder="1" applyAlignment="1">
      <alignment/>
    </xf>
    <xf numFmtId="0" fontId="8" fillId="2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15" fillId="0" borderId="36" xfId="0" applyFont="1" applyBorder="1" applyAlignment="1">
      <alignment/>
    </xf>
    <xf numFmtId="0" fontId="0" fillId="7" borderId="16" xfId="0" applyFont="1" applyFill="1" applyBorder="1" applyAlignment="1">
      <alignment vertical="justify"/>
    </xf>
    <xf numFmtId="0" fontId="8" fillId="20" borderId="12" xfId="0" applyFont="1" applyFill="1" applyBorder="1" applyAlignment="1">
      <alignment vertical="center"/>
    </xf>
    <xf numFmtId="0" fontId="8" fillId="20" borderId="12" xfId="0" applyFont="1" applyFill="1" applyBorder="1" applyAlignment="1">
      <alignment horizontal="center" vertical="center"/>
    </xf>
    <xf numFmtId="0" fontId="22" fillId="0" borderId="12" xfId="0" applyFont="1" applyFill="1" applyBorder="1" applyAlignment="1">
      <alignment horizontal="center"/>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5" fillId="0" borderId="12" xfId="0" applyFont="1" applyFill="1" applyBorder="1" applyAlignment="1">
      <alignment/>
    </xf>
    <xf numFmtId="0" fontId="25"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2" xfId="0" applyNumberFormat="1" applyFill="1" applyBorder="1" applyAlignment="1">
      <alignment horizontal="center" vertical="center" wrapText="1"/>
    </xf>
    <xf numFmtId="4" fontId="53" fillId="22" borderId="10" xfId="0" applyNumberFormat="1" applyFont="1" applyFill="1" applyBorder="1" applyAlignment="1">
      <alignment horizontal="center" vertical="center" wrapText="1"/>
    </xf>
    <xf numFmtId="0" fontId="2" fillId="22" borderId="12" xfId="0" applyFont="1" applyFill="1" applyBorder="1" applyAlignment="1">
      <alignment horizontal="center" vertical="center" wrapText="1"/>
    </xf>
    <xf numFmtId="0" fontId="7" fillId="20" borderId="1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4" fillId="7" borderId="27" xfId="0" applyFont="1" applyFill="1" applyBorder="1" applyAlignment="1">
      <alignment/>
    </xf>
    <xf numFmtId="0" fontId="4" fillId="8" borderId="11" xfId="0" applyFont="1" applyFill="1" applyBorder="1" applyAlignment="1">
      <alignment/>
    </xf>
    <xf numFmtId="0" fontId="4" fillId="22" borderId="11" xfId="0" applyFont="1" applyFill="1" applyBorder="1" applyAlignment="1">
      <alignment/>
    </xf>
    <xf numFmtId="0" fontId="2" fillId="14" borderId="16" xfId="0" applyFont="1" applyFill="1" applyBorder="1" applyAlignment="1">
      <alignment horizontal="center"/>
    </xf>
    <xf numFmtId="172" fontId="2" fillId="14" borderId="15" xfId="42" applyNumberFormat="1" applyFont="1" applyFill="1" applyBorder="1" applyAlignment="1">
      <alignment horizontal="right" vertical="center" wrapText="1"/>
    </xf>
    <xf numFmtId="0" fontId="0" fillId="0" borderId="0" xfId="0" applyFont="1" applyAlignment="1">
      <alignment vertical="justify"/>
    </xf>
    <xf numFmtId="0" fontId="0" fillId="0" borderId="0" xfId="0" applyFont="1" applyBorder="1" applyAlignment="1">
      <alignment vertical="justify"/>
    </xf>
    <xf numFmtId="0" fontId="2" fillId="0" borderId="0"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65" fillId="0" borderId="0" xfId="0" applyAlignment="1">
      <alignment vertical="center"/>
    </xf>
    <xf numFmtId="3" fontId="0" fillId="0" borderId="10" xfId="0" applyNumberFormat="1" applyFont="1" applyFill="1" applyBorder="1" applyAlignment="1">
      <alignment horizontal="center" vertical="center" wrapText="1"/>
    </xf>
    <xf numFmtId="0" fontId="7" fillId="0" borderId="0" xfId="0" applyFont="1" applyAlignment="1">
      <alignment vertical="center"/>
    </xf>
    <xf numFmtId="0" fontId="49" fillId="0" borderId="10" xfId="0" applyFont="1" applyFill="1" applyBorder="1" applyAlignment="1">
      <alignment vertical="top" wrapText="1" shrinkToFit="1"/>
    </xf>
    <xf numFmtId="3" fontId="49"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65" fillId="0" borderId="0" xfId="0" applyFill="1" applyAlignment="1">
      <alignment/>
    </xf>
    <xf numFmtId="0" fontId="65" fillId="0" borderId="10" xfId="0" applyFill="1" applyBorder="1" applyAlignment="1">
      <alignment/>
    </xf>
    <xf numFmtId="0" fontId="65" fillId="25" borderId="10" xfId="0" applyFill="1" applyBorder="1" applyAlignment="1">
      <alignment horizontal="center" vertical="center" wrapText="1"/>
    </xf>
    <xf numFmtId="0" fontId="2" fillId="11" borderId="10" xfId="0" applyFont="1" applyFill="1" applyBorder="1" applyAlignment="1">
      <alignment horizontal="center" vertical="center" wrapText="1"/>
    </xf>
    <xf numFmtId="0" fontId="65" fillId="0" borderId="10" xfId="0" applyFill="1" applyBorder="1" applyAlignment="1">
      <alignment horizontal="center" vertical="center" wrapText="1"/>
    </xf>
    <xf numFmtId="2" fontId="65" fillId="0" borderId="10" xfId="0" applyNumberFormat="1" applyFill="1" applyBorder="1" applyAlignment="1">
      <alignment horizontal="center" vertical="center" wrapText="1"/>
    </xf>
    <xf numFmtId="2" fontId="65" fillId="17" borderId="10" xfId="0" applyNumberFormat="1" applyFill="1" applyBorder="1" applyAlignment="1">
      <alignment horizontal="center" vertical="center" wrapText="1"/>
    </xf>
    <xf numFmtId="0" fontId="2" fillId="0" borderId="10"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65" fillId="11" borderId="10" xfId="0" applyFill="1" applyBorder="1" applyAlignment="1">
      <alignment horizontal="center" vertical="center" wrapText="1"/>
    </xf>
    <xf numFmtId="0" fontId="49" fillId="0" borderId="10" xfId="0" applyFont="1" applyFill="1" applyBorder="1" applyAlignment="1">
      <alignment vertical="center" wrapText="1" shrinkToFit="1"/>
    </xf>
    <xf numFmtId="3" fontId="49" fillId="0" borderId="10" xfId="0" applyNumberFormat="1" applyFont="1" applyFill="1" applyBorder="1" applyAlignment="1" quotePrefix="1">
      <alignment horizontal="center" vertical="center" wrapText="1"/>
    </xf>
    <xf numFmtId="0" fontId="0" fillId="0" borderId="0" xfId="0" applyFont="1" applyAlignment="1">
      <alignment vertical="center"/>
    </xf>
    <xf numFmtId="3" fontId="0" fillId="0" borderId="10" xfId="0" applyNumberFormat="1" applyFont="1" applyFill="1" applyBorder="1" applyAlignment="1">
      <alignment horizontal="center" vertical="center" wrapText="1"/>
    </xf>
    <xf numFmtId="0" fontId="0" fillId="11" borderId="10" xfId="0" applyFont="1" applyFill="1" applyBorder="1" applyAlignment="1">
      <alignment horizontal="center" vertical="center" wrapText="1"/>
    </xf>
    <xf numFmtId="0" fontId="0" fillId="0" borderId="10" xfId="0" applyFont="1" applyBorder="1" applyAlignment="1">
      <alignment horizontal="center" vertical="center" wrapText="1"/>
    </xf>
    <xf numFmtId="2" fontId="0" fillId="0" borderId="10" xfId="0" applyNumberFormat="1" applyFont="1" applyBorder="1" applyAlignment="1">
      <alignment horizontal="center" vertical="center" wrapText="1"/>
    </xf>
    <xf numFmtId="3" fontId="0" fillId="0" borderId="10" xfId="0" applyNumberFormat="1" applyFont="1" applyFill="1" applyBorder="1" applyAlignment="1">
      <alignment horizontal="center" vertical="center"/>
    </xf>
    <xf numFmtId="2" fontId="7" fillId="0" borderId="10" xfId="0" applyNumberFormat="1" applyFont="1" applyFill="1" applyBorder="1" applyAlignment="1">
      <alignment horizontal="center" vertical="center"/>
    </xf>
    <xf numFmtId="0" fontId="0" fillId="11" borderId="10" xfId="0" applyFont="1" applyFill="1" applyBorder="1" applyAlignment="1">
      <alignment horizontal="center" vertical="center"/>
    </xf>
    <xf numFmtId="2" fontId="0" fillId="0" borderId="10" xfId="0" applyNumberFormat="1" applyFont="1" applyFill="1" applyBorder="1" applyAlignment="1">
      <alignment horizontal="center" vertical="center"/>
    </xf>
    <xf numFmtId="0" fontId="7" fillId="11" borderId="10" xfId="0" applyFont="1" applyFill="1" applyBorder="1" applyAlignment="1">
      <alignment horizontal="center" vertical="center"/>
    </xf>
    <xf numFmtId="0" fontId="0" fillId="25" borderId="10" xfId="0" applyFont="1" applyFill="1" applyBorder="1" applyAlignment="1">
      <alignment horizontal="center" vertical="center"/>
    </xf>
    <xf numFmtId="2" fontId="0" fillId="11" borderId="10" xfId="0" applyNumberFormat="1" applyFont="1" applyFill="1" applyBorder="1" applyAlignment="1">
      <alignment horizontal="center" vertical="center"/>
    </xf>
    <xf numFmtId="0" fontId="7" fillId="0" borderId="0" xfId="0" applyFont="1" applyAlignment="1">
      <alignment vertical="center"/>
    </xf>
    <xf numFmtId="2" fontId="7" fillId="17" borderId="10" xfId="0" applyNumberFormat="1" applyFont="1" applyFill="1" applyBorder="1" applyAlignment="1">
      <alignment horizontal="center" vertical="center" wrapText="1"/>
    </xf>
    <xf numFmtId="2"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2" fontId="7" fillId="11" borderId="10" xfId="0" applyNumberFormat="1" applyFont="1" applyFill="1" applyBorder="1" applyAlignment="1">
      <alignment horizontal="center" vertical="center" wrapText="1"/>
    </xf>
    <xf numFmtId="0" fontId="0" fillId="25" borderId="10" xfId="0" applyFont="1" applyFill="1" applyBorder="1" applyAlignment="1">
      <alignment horizontal="center" vertical="center" wrapText="1"/>
    </xf>
    <xf numFmtId="0" fontId="0" fillId="11" borderId="10" xfId="0" applyFont="1" applyFill="1" applyBorder="1" applyAlignment="1">
      <alignment horizontal="center" vertical="center" wrapText="1"/>
    </xf>
    <xf numFmtId="2"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25" borderId="10" xfId="0" applyFont="1" applyFill="1" applyBorder="1" applyAlignment="1">
      <alignment horizontal="center" vertical="center" wrapText="1"/>
    </xf>
    <xf numFmtId="2" fontId="7" fillId="11" borderId="40" xfId="0" applyNumberFormat="1" applyFont="1" applyFill="1" applyBorder="1" applyAlignment="1">
      <alignment horizontal="center" vertical="center" wrapText="1"/>
    </xf>
    <xf numFmtId="0" fontId="65" fillId="0" borderId="0" xfId="0" applyAlignment="1">
      <alignment/>
    </xf>
    <xf numFmtId="0" fontId="7" fillId="0" borderId="10" xfId="0" applyFont="1" applyFill="1" applyBorder="1" applyAlignment="1">
      <alignment vertical="top" wrapText="1" shrinkToFit="1"/>
    </xf>
    <xf numFmtId="0" fontId="65" fillId="0" borderId="10" xfId="0" applyBorder="1" applyAlignment="1">
      <alignment vertical="top" wrapText="1" shrinkToFit="1"/>
    </xf>
    <xf numFmtId="0" fontId="0" fillId="0" borderId="10" xfId="0" applyFont="1" applyBorder="1" applyAlignment="1">
      <alignment horizontal="center" vertical="center"/>
    </xf>
    <xf numFmtId="0" fontId="0" fillId="25" borderId="10" xfId="0" applyFont="1" applyFill="1" applyBorder="1" applyAlignment="1">
      <alignment horizontal="center" vertical="center" wrapText="1"/>
    </xf>
    <xf numFmtId="2" fontId="0" fillId="11" borderId="10" xfId="0" applyNumberFormat="1" applyFont="1" applyFill="1" applyBorder="1" applyAlignment="1">
      <alignment horizontal="center" vertical="center" wrapText="1"/>
    </xf>
    <xf numFmtId="2" fontId="7" fillId="17" borderId="10" xfId="0" applyNumberFormat="1" applyFont="1" applyFill="1" applyBorder="1" applyAlignment="1">
      <alignment horizontal="center" vertical="center" wrapText="1"/>
    </xf>
    <xf numFmtId="2" fontId="7" fillId="0" borderId="10" xfId="0" applyNumberFormat="1" applyFont="1" applyBorder="1" applyAlignment="1">
      <alignment horizontal="center" vertical="center" wrapText="1"/>
    </xf>
    <xf numFmtId="0" fontId="65" fillId="0" borderId="10" xfId="0" applyBorder="1" applyAlignment="1">
      <alignment horizontal="center" vertical="center" wrapText="1"/>
    </xf>
    <xf numFmtId="0" fontId="65" fillId="0" borderId="0" xfId="0" applyAlignment="1">
      <alignment horizontal="center" vertical="center"/>
    </xf>
    <xf numFmtId="0" fontId="65" fillId="24" borderId="10" xfId="0" applyFill="1" applyBorder="1" applyAlignment="1">
      <alignment horizontal="center" vertical="center" wrapText="1"/>
    </xf>
    <xf numFmtId="0" fontId="65" fillId="0" borderId="10" xfId="0" applyBorder="1" applyAlignment="1">
      <alignment horizontal="center" vertical="center"/>
    </xf>
    <xf numFmtId="0" fontId="7" fillId="0" borderId="0" xfId="0" applyFont="1" applyAlignment="1">
      <alignment horizontal="center" vertical="center"/>
    </xf>
    <xf numFmtId="0" fontId="7" fillId="25" borderId="10" xfId="0" applyFont="1" applyFill="1" applyBorder="1" applyAlignment="1">
      <alignment horizontal="center" vertical="center" wrapText="1"/>
    </xf>
    <xf numFmtId="0" fontId="7" fillId="17" borderId="10" xfId="0" applyFont="1" applyFill="1" applyBorder="1" applyAlignment="1">
      <alignment horizontal="center" vertical="center" wrapText="1"/>
    </xf>
    <xf numFmtId="3" fontId="49" fillId="0" borderId="10" xfId="0" applyNumberFormat="1" applyFont="1" applyFill="1" applyBorder="1" applyAlignment="1">
      <alignment horizontal="center" vertical="center" wrapText="1"/>
    </xf>
    <xf numFmtId="2" fontId="65" fillId="11" borderId="10" xfId="0" applyNumberFormat="1" applyFill="1" applyBorder="1" applyAlignment="1">
      <alignment horizontal="center" vertical="center" wrapText="1"/>
    </xf>
    <xf numFmtId="0" fontId="0" fillId="0" borderId="0" xfId="0" applyFont="1" applyAlignment="1">
      <alignment vertical="center"/>
    </xf>
    <xf numFmtId="0" fontId="0" fillId="11"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2" fontId="65" fillId="0" borderId="10" xfId="0" applyNumberFormat="1" applyBorder="1" applyAlignment="1">
      <alignment horizontal="center" vertical="center" wrapText="1"/>
    </xf>
    <xf numFmtId="2" fontId="65" fillId="25" borderId="10" xfId="0" applyNumberFormat="1" applyFill="1" applyBorder="1" applyAlignment="1">
      <alignment horizontal="center" vertical="center" wrapText="1"/>
    </xf>
    <xf numFmtId="0" fontId="7" fillId="11" borderId="10" xfId="0" applyFont="1" applyFill="1" applyBorder="1" applyAlignment="1">
      <alignment horizontal="center" vertical="center" wrapText="1"/>
    </xf>
    <xf numFmtId="3" fontId="0" fillId="0" borderId="41"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0" xfId="0" applyFont="1" applyAlignment="1">
      <alignment vertical="center"/>
    </xf>
    <xf numFmtId="0" fontId="65" fillId="0" borderId="0" xfId="0" applyAlignment="1">
      <alignment horizontal="center"/>
    </xf>
    <xf numFmtId="4" fontId="7"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25" borderId="10" xfId="0" applyFont="1" applyFill="1" applyBorder="1" applyAlignment="1">
      <alignment horizontal="center" vertical="center"/>
    </xf>
    <xf numFmtId="0" fontId="0" fillId="11" borderId="10" xfId="0" applyFont="1" applyFill="1" applyBorder="1" applyAlignment="1">
      <alignment horizontal="center" vertical="center"/>
    </xf>
    <xf numFmtId="0" fontId="0" fillId="0" borderId="0" xfId="0" applyFont="1" applyFill="1" applyAlignment="1">
      <alignment vertical="center"/>
    </xf>
    <xf numFmtId="0" fontId="8" fillId="11" borderId="10" xfId="0" applyFont="1" applyFill="1" applyBorder="1" applyAlignment="1">
      <alignment horizontal="center" vertical="center" wrapText="1"/>
    </xf>
    <xf numFmtId="0" fontId="65" fillId="0" borderId="0" xfId="0" applyFill="1" applyAlignment="1">
      <alignment vertical="center"/>
    </xf>
    <xf numFmtId="0" fontId="65" fillId="0" borderId="0" xfId="0" applyBorder="1" applyAlignment="1">
      <alignment vertical="center"/>
    </xf>
    <xf numFmtId="0" fontId="65" fillId="0" borderId="0" xfId="0" applyBorder="1" applyAlignment="1">
      <alignment horizontal="center" vertical="center"/>
    </xf>
    <xf numFmtId="0" fontId="65" fillId="0" borderId="10" xfId="0" applyBorder="1" applyAlignment="1">
      <alignment/>
    </xf>
    <xf numFmtId="0" fontId="0" fillId="0" borderId="40" xfId="0" applyFont="1" applyBorder="1" applyAlignment="1">
      <alignment vertical="center" wrapText="1"/>
    </xf>
    <xf numFmtId="0" fontId="0" fillId="24" borderId="40" xfId="0" applyFont="1" applyFill="1" applyBorder="1" applyAlignment="1">
      <alignment vertical="center" wrapText="1"/>
    </xf>
    <xf numFmtId="0" fontId="0" fillId="0" borderId="40" xfId="0" applyFont="1" applyFill="1" applyBorder="1" applyAlignment="1">
      <alignment vertical="center" wrapText="1"/>
    </xf>
    <xf numFmtId="3" fontId="0" fillId="0" borderId="40" xfId="0" applyNumberFormat="1" applyFont="1" applyFill="1" applyBorder="1" applyAlignment="1">
      <alignment vertical="center" wrapText="1"/>
    </xf>
    <xf numFmtId="3" fontId="0" fillId="20" borderId="40" xfId="0" applyNumberFormat="1" applyFont="1" applyFill="1" applyBorder="1" applyAlignment="1">
      <alignment vertical="center" wrapText="1"/>
    </xf>
    <xf numFmtId="3" fontId="0" fillId="0" borderId="40" xfId="0" applyNumberFormat="1" applyFont="1" applyFill="1" applyBorder="1" applyAlignment="1">
      <alignment horizontal="left" vertical="center" wrapText="1"/>
    </xf>
    <xf numFmtId="3" fontId="0" fillId="0" borderId="40" xfId="0" applyNumberFormat="1" applyFont="1" applyBorder="1" applyAlignment="1">
      <alignment vertical="center" wrapText="1"/>
    </xf>
    <xf numFmtId="3" fontId="0" fillId="21" borderId="40" xfId="0" applyNumberFormat="1" applyFont="1" applyFill="1" applyBorder="1" applyAlignment="1">
      <alignment vertical="center" wrapText="1"/>
    </xf>
    <xf numFmtId="3" fontId="0" fillId="24" borderId="42" xfId="0" applyNumberFormat="1" applyFont="1" applyFill="1" applyBorder="1" applyAlignment="1">
      <alignment vertical="center" wrapText="1"/>
    </xf>
    <xf numFmtId="0" fontId="0" fillId="0" borderId="42" xfId="0" applyFont="1" applyFill="1" applyBorder="1" applyAlignment="1">
      <alignment wrapText="1"/>
    </xf>
    <xf numFmtId="0" fontId="25" fillId="0" borderId="10" xfId="0" applyFont="1" applyBorder="1" applyAlignment="1">
      <alignment vertical="top" wrapText="1"/>
    </xf>
    <xf numFmtId="0" fontId="7" fillId="0" borderId="10" xfId="0" applyFont="1" applyBorder="1" applyAlignment="1">
      <alignment vertical="top" wrapText="1"/>
    </xf>
    <xf numFmtId="0" fontId="4" fillId="0" borderId="10" xfId="0" applyFont="1" applyBorder="1" applyAlignment="1">
      <alignment vertical="top" wrapText="1"/>
    </xf>
    <xf numFmtId="3" fontId="4" fillId="0" borderId="10" xfId="0" applyNumberFormat="1" applyFont="1" applyBorder="1" applyAlignment="1">
      <alignment vertical="top" wrapText="1"/>
    </xf>
    <xf numFmtId="0" fontId="25" fillId="0" borderId="10" xfId="0" applyFont="1" applyBorder="1" applyAlignment="1">
      <alignment vertical="top" wrapText="1"/>
    </xf>
    <xf numFmtId="0" fontId="7" fillId="0" borderId="12" xfId="0" applyFont="1" applyBorder="1" applyAlignment="1">
      <alignment vertical="top" wrapText="1"/>
    </xf>
    <xf numFmtId="0" fontId="4" fillId="0" borderId="12" xfId="0" applyFont="1" applyBorder="1" applyAlignment="1">
      <alignment vertical="top" wrapText="1"/>
    </xf>
    <xf numFmtId="3" fontId="4" fillId="0" borderId="12" xfId="0" applyNumberFormat="1" applyFont="1" applyBorder="1" applyAlignment="1">
      <alignment vertical="top" wrapText="1"/>
    </xf>
    <xf numFmtId="0" fontId="0" fillId="0" borderId="12" xfId="0" applyFont="1" applyBorder="1" applyAlignment="1">
      <alignment vertical="top" wrapText="1"/>
    </xf>
    <xf numFmtId="0" fontId="0" fillId="7" borderId="11" xfId="0" applyFont="1" applyFill="1" applyBorder="1" applyAlignment="1">
      <alignment vertical="top" wrapText="1"/>
    </xf>
    <xf numFmtId="3" fontId="2" fillId="7" borderId="16" xfId="0" applyNumberFormat="1" applyFont="1" applyFill="1" applyBorder="1" applyAlignment="1">
      <alignment horizontal="center" vertical="center" wrapText="1"/>
    </xf>
    <xf numFmtId="3" fontId="2" fillId="7" borderId="15" xfId="0" applyNumberFormat="1" applyFont="1" applyFill="1" applyBorder="1" applyAlignment="1">
      <alignment horizontal="right" vertical="center"/>
    </xf>
    <xf numFmtId="3" fontId="0" fillId="0" borderId="17" xfId="0" applyNumberFormat="1" applyFont="1" applyFill="1" applyBorder="1" applyAlignment="1">
      <alignment vertical="center" wrapText="1"/>
    </xf>
    <xf numFmtId="3" fontId="0" fillId="0" borderId="43" xfId="0" applyNumberFormat="1" applyFont="1" applyFill="1" applyBorder="1" applyAlignment="1">
      <alignment vertical="center" wrapText="1"/>
    </xf>
    <xf numFmtId="0" fontId="4" fillId="0" borderId="15" xfId="0" applyFont="1" applyBorder="1" applyAlignment="1">
      <alignment vertical="top" wrapText="1"/>
    </xf>
    <xf numFmtId="0" fontId="4" fillId="0" borderId="22" xfId="0" applyFont="1" applyBorder="1" applyAlignment="1">
      <alignment vertical="top" wrapText="1"/>
    </xf>
    <xf numFmtId="0" fontId="0" fillId="8" borderId="11" xfId="0" applyFont="1" applyFill="1" applyBorder="1" applyAlignment="1">
      <alignment vertical="top" wrapText="1"/>
    </xf>
    <xf numFmtId="3" fontId="0" fillId="8" borderId="11" xfId="0" applyNumberFormat="1" applyFont="1" applyFill="1" applyBorder="1" applyAlignment="1">
      <alignment vertical="top" wrapText="1"/>
    </xf>
    <xf numFmtId="3" fontId="0" fillId="8" borderId="11" xfId="0" applyNumberFormat="1" applyFont="1" applyFill="1" applyBorder="1" applyAlignment="1">
      <alignment vertical="top" wrapText="1"/>
    </xf>
    <xf numFmtId="3" fontId="0" fillId="8" borderId="11" xfId="0" applyNumberFormat="1" applyFont="1" applyFill="1" applyBorder="1" applyAlignment="1">
      <alignment horizontal="left" vertical="top" wrapText="1"/>
    </xf>
    <xf numFmtId="3" fontId="0" fillId="8" borderId="44" xfId="0" applyNumberFormat="1" applyFont="1" applyFill="1" applyBorder="1" applyAlignment="1">
      <alignment vertical="top" wrapText="1"/>
    </xf>
    <xf numFmtId="0" fontId="0" fillId="8" borderId="44" xfId="0" applyFont="1" applyFill="1" applyBorder="1" applyAlignment="1">
      <alignment vertical="top" wrapText="1"/>
    </xf>
    <xf numFmtId="3" fontId="25" fillId="0" borderId="12" xfId="0" applyNumberFormat="1" applyFont="1" applyBorder="1" applyAlignment="1">
      <alignment vertical="top" wrapText="1"/>
    </xf>
    <xf numFmtId="3" fontId="2" fillId="8" borderId="15" xfId="0" applyNumberFormat="1" applyFont="1" applyFill="1" applyBorder="1" applyAlignment="1">
      <alignment horizontal="right" vertical="center" wrapText="1"/>
    </xf>
    <xf numFmtId="0" fontId="0" fillId="0" borderId="1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5" xfId="0" applyFont="1" applyFill="1" applyBorder="1" applyAlignment="1">
      <alignment vertical="center" wrapText="1"/>
    </xf>
    <xf numFmtId="0" fontId="4" fillId="0" borderId="40" xfId="0" applyFont="1" applyBorder="1" applyAlignment="1">
      <alignment horizontal="justify" vertical="top" wrapText="1"/>
    </xf>
    <xf numFmtId="0" fontId="4" fillId="0" borderId="43" xfId="0" applyFont="1" applyFill="1" applyBorder="1" applyAlignment="1">
      <alignment/>
    </xf>
    <xf numFmtId="0" fontId="4" fillId="0" borderId="46" xfId="0" applyFont="1" applyFill="1" applyBorder="1" applyAlignment="1">
      <alignment/>
    </xf>
    <xf numFmtId="0" fontId="4" fillId="0" borderId="31" xfId="0" applyFont="1" applyBorder="1" applyAlignment="1">
      <alignment vertical="top" wrapText="1"/>
    </xf>
    <xf numFmtId="0" fontId="4" fillId="0" borderId="19" xfId="0" applyFont="1" applyBorder="1" applyAlignment="1">
      <alignment vertical="top" wrapText="1"/>
    </xf>
    <xf numFmtId="0" fontId="4" fillId="7" borderId="27" xfId="0" applyFont="1" applyFill="1" applyBorder="1" applyAlignment="1">
      <alignment vertical="center"/>
    </xf>
    <xf numFmtId="0" fontId="4" fillId="8" borderId="11" xfId="0" applyFont="1" applyFill="1" applyBorder="1" applyAlignment="1">
      <alignment vertical="center"/>
    </xf>
    <xf numFmtId="0" fontId="4" fillId="22" borderId="11" xfId="0" applyFont="1" applyFill="1" applyBorder="1" applyAlignment="1">
      <alignment vertical="center"/>
    </xf>
    <xf numFmtId="0" fontId="5" fillId="14" borderId="16" xfId="0" applyFont="1" applyFill="1" applyBorder="1" applyAlignment="1">
      <alignment horizontal="center" vertical="center"/>
    </xf>
    <xf numFmtId="3" fontId="0" fillId="8" borderId="47" xfId="0" applyNumberFormat="1" applyFont="1" applyFill="1" applyBorder="1" applyAlignment="1">
      <alignment horizontal="left" vertical="top" wrapText="1"/>
    </xf>
    <xf numFmtId="3" fontId="0" fillId="8" borderId="41" xfId="0" applyNumberFormat="1" applyFont="1" applyFill="1" applyBorder="1" applyAlignment="1">
      <alignment horizontal="right" vertical="center" wrapText="1"/>
    </xf>
    <xf numFmtId="3" fontId="0" fillId="0" borderId="41" xfId="0" applyNumberFormat="1" applyFont="1" applyFill="1" applyBorder="1" applyAlignment="1">
      <alignment horizontal="left" vertical="center" wrapText="1"/>
    </xf>
    <xf numFmtId="3" fontId="0" fillId="20" borderId="41" xfId="0" applyNumberFormat="1" applyFont="1" applyFill="1" applyBorder="1" applyAlignment="1">
      <alignment horizontal="left" vertical="center" wrapText="1"/>
    </xf>
    <xf numFmtId="3" fontId="0" fillId="21" borderId="41" xfId="0" applyNumberFormat="1" applyFont="1" applyFill="1" applyBorder="1" applyAlignment="1">
      <alignment horizontal="left" vertical="center" wrapText="1"/>
    </xf>
    <xf numFmtId="3" fontId="0" fillId="0" borderId="48" xfId="0" applyNumberFormat="1" applyFont="1" applyFill="1" applyBorder="1" applyAlignment="1">
      <alignment horizontal="left" vertical="center" wrapText="1"/>
    </xf>
    <xf numFmtId="0" fontId="2" fillId="8" borderId="23" xfId="0" applyFont="1" applyFill="1" applyBorder="1" applyAlignment="1">
      <alignment horizontal="center"/>
    </xf>
    <xf numFmtId="0" fontId="0" fillId="20" borderId="10" xfId="0" applyFont="1" applyFill="1" applyBorder="1" applyAlignment="1">
      <alignment vertical="top" wrapText="1"/>
    </xf>
    <xf numFmtId="0" fontId="4" fillId="24" borderId="10" xfId="0" applyFont="1" applyFill="1" applyBorder="1" applyAlignment="1">
      <alignment vertical="top" wrapText="1"/>
    </xf>
    <xf numFmtId="3" fontId="0" fillId="24" borderId="10" xfId="0" applyNumberFormat="1" applyFont="1" applyFill="1" applyBorder="1" applyAlignment="1">
      <alignment vertical="center" wrapText="1"/>
    </xf>
    <xf numFmtId="0" fontId="4" fillId="0" borderId="12" xfId="0" applyFont="1" applyBorder="1" applyAlignment="1">
      <alignment horizontal="right" vertical="top" wrapText="1"/>
    </xf>
    <xf numFmtId="0" fontId="7" fillId="0" borderId="40" xfId="0" applyFont="1" applyBorder="1" applyAlignment="1">
      <alignment horizontal="center" vertical="center" wrapText="1"/>
    </xf>
    <xf numFmtId="0" fontId="7" fillId="0" borderId="40" xfId="0" applyFont="1" applyFill="1" applyBorder="1" applyAlignment="1">
      <alignment horizontal="center" vertical="center" wrapText="1"/>
    </xf>
    <xf numFmtId="173" fontId="10" fillId="0" borderId="40" xfId="0" applyNumberFormat="1" applyFont="1" applyFill="1" applyBorder="1" applyAlignment="1">
      <alignment horizontal="center" vertical="center" wrapText="1"/>
    </xf>
    <xf numFmtId="173" fontId="11" fillId="0" borderId="40" xfId="0" applyNumberFormat="1" applyFont="1" applyFill="1" applyBorder="1" applyAlignment="1">
      <alignment horizontal="center" vertical="center" wrapText="1"/>
    </xf>
    <xf numFmtId="0" fontId="8" fillId="20" borderId="40" xfId="0" applyFont="1" applyFill="1" applyBorder="1" applyAlignment="1">
      <alignment horizontal="center" vertical="center" wrapText="1"/>
    </xf>
    <xf numFmtId="0" fontId="12" fillId="20" borderId="40" xfId="0" applyFont="1" applyFill="1" applyBorder="1" applyAlignment="1">
      <alignment horizontal="left"/>
    </xf>
    <xf numFmtId="0" fontId="14" fillId="0" borderId="40" xfId="0" applyFont="1" applyBorder="1" applyAlignment="1">
      <alignment horizontal="center" vertical="center" wrapText="1"/>
    </xf>
    <xf numFmtId="0" fontId="14" fillId="0" borderId="40" xfId="0" applyFont="1" applyFill="1" applyBorder="1" applyAlignment="1">
      <alignment horizontal="center" vertical="center" wrapText="1"/>
    </xf>
    <xf numFmtId="0" fontId="15" fillId="0" borderId="49" xfId="0" applyFont="1" applyBorder="1" applyAlignment="1">
      <alignment/>
    </xf>
    <xf numFmtId="0" fontId="7" fillId="0" borderId="12" xfId="0" applyFont="1" applyBorder="1" applyAlignment="1">
      <alignment horizontal="left" vertical="top" wrapText="1"/>
    </xf>
    <xf numFmtId="0" fontId="49" fillId="0" borderId="12" xfId="0" applyFont="1" applyBorder="1" applyAlignment="1">
      <alignment horizontal="left" vertical="top" wrapText="1"/>
    </xf>
    <xf numFmtId="0" fontId="0" fillId="0" borderId="12" xfId="0" applyBorder="1" applyAlignment="1">
      <alignment horizontal="left" vertical="top" wrapText="1"/>
    </xf>
    <xf numFmtId="0" fontId="0" fillId="0" borderId="12" xfId="0" applyFill="1" applyBorder="1" applyAlignment="1">
      <alignment horizontal="left" vertical="top" wrapText="1"/>
    </xf>
    <xf numFmtId="0" fontId="0" fillId="7" borderId="11" xfId="0" applyFont="1" applyFill="1" applyBorder="1" applyAlignment="1">
      <alignment horizontal="center" vertical="top" wrapText="1"/>
    </xf>
    <xf numFmtId="0" fontId="0" fillId="26" borderId="11"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7" borderId="25" xfId="0" applyFont="1" applyFill="1" applyBorder="1" applyAlignment="1">
      <alignment horizontal="left" vertical="top" wrapText="1"/>
    </xf>
    <xf numFmtId="0" fontId="0" fillId="7" borderId="25" xfId="0" applyFont="1" applyFill="1" applyBorder="1" applyAlignment="1">
      <alignment horizontal="left" vertical="top" wrapText="1" shrinkToFit="1"/>
    </xf>
    <xf numFmtId="0" fontId="0" fillId="11" borderId="25" xfId="0" applyFont="1" applyFill="1" applyBorder="1" applyAlignment="1">
      <alignment horizontal="left" vertical="top" wrapText="1"/>
    </xf>
    <xf numFmtId="171" fontId="0" fillId="27" borderId="25" xfId="42" applyFont="1" applyFill="1" applyBorder="1" applyAlignment="1">
      <alignment horizontal="left" vertical="top" wrapText="1"/>
    </xf>
    <xf numFmtId="171" fontId="4" fillId="27" borderId="10" xfId="42" applyFont="1" applyFill="1" applyBorder="1" applyAlignment="1">
      <alignment horizontal="left" vertical="top" wrapText="1"/>
    </xf>
    <xf numFmtId="0" fontId="4" fillId="26" borderId="10" xfId="0" applyFont="1" applyFill="1" applyBorder="1" applyAlignment="1">
      <alignment horizontal="left" vertical="top" wrapText="1"/>
    </xf>
    <xf numFmtId="0" fontId="0" fillId="26" borderId="10" xfId="0" applyFont="1" applyFill="1" applyBorder="1" applyAlignment="1">
      <alignment horizontal="left" vertical="top" wrapText="1"/>
    </xf>
    <xf numFmtId="0" fontId="0" fillId="7" borderId="25" xfId="0" applyNumberFormat="1" applyFont="1" applyFill="1" applyBorder="1" applyAlignment="1">
      <alignment horizontal="left" vertical="top" wrapText="1"/>
    </xf>
    <xf numFmtId="0" fontId="0" fillId="0" borderId="25" xfId="0" applyNumberFormat="1" applyFont="1" applyFill="1" applyBorder="1" applyAlignment="1">
      <alignment horizontal="left" vertical="top" wrapText="1"/>
    </xf>
    <xf numFmtId="0" fontId="0" fillId="26" borderId="25" xfId="0" applyNumberFormat="1" applyFont="1" applyFill="1" applyBorder="1" applyAlignment="1">
      <alignment horizontal="left" vertical="top" wrapText="1"/>
    </xf>
    <xf numFmtId="0" fontId="8" fillId="0" borderId="40" xfId="0" applyFont="1" applyFill="1" applyBorder="1" applyAlignment="1">
      <alignment horizontal="center" vertical="center" wrapText="1"/>
    </xf>
    <xf numFmtId="0" fontId="0" fillId="0" borderId="40" xfId="0" applyFont="1" applyFill="1" applyBorder="1" applyAlignment="1">
      <alignment horizontal="center" vertical="center"/>
    </xf>
    <xf numFmtId="0" fontId="9" fillId="0" borderId="40" xfId="0" applyFont="1" applyFill="1" applyBorder="1" applyAlignment="1">
      <alignment horizontal="center" vertical="center"/>
    </xf>
    <xf numFmtId="2" fontId="11" fillId="0" borderId="40" xfId="0" applyNumberFormat="1" applyFont="1" applyFill="1" applyBorder="1" applyAlignment="1">
      <alignment horizontal="center" vertical="center"/>
    </xf>
    <xf numFmtId="4" fontId="2" fillId="0" borderId="40" xfId="0" applyNumberFormat="1" applyFont="1" applyFill="1" applyBorder="1" applyAlignment="1">
      <alignment horizontal="center" vertical="center" wrapText="1"/>
    </xf>
    <xf numFmtId="0" fontId="7" fillId="0" borderId="40" xfId="0" applyFont="1" applyFill="1" applyBorder="1" applyAlignment="1">
      <alignment horizontal="center" vertical="center"/>
    </xf>
    <xf numFmtId="0" fontId="12" fillId="0" borderId="45" xfId="0" applyFont="1" applyFill="1" applyBorder="1" applyAlignment="1">
      <alignment horizontal="left"/>
    </xf>
    <xf numFmtId="0" fontId="7" fillId="20" borderId="45" xfId="0" applyFont="1" applyFill="1" applyBorder="1" applyAlignment="1">
      <alignment horizontal="center" vertical="center" wrapText="1"/>
    </xf>
    <xf numFmtId="0" fontId="8" fillId="24" borderId="40" xfId="0" applyFont="1" applyFill="1" applyBorder="1" applyAlignment="1">
      <alignment horizontal="center" vertical="center" wrapText="1"/>
    </xf>
    <xf numFmtId="0" fontId="0" fillId="20" borderId="40" xfId="0" applyFont="1" applyFill="1" applyBorder="1" applyAlignment="1">
      <alignment horizontal="center" vertical="center"/>
    </xf>
    <xf numFmtId="0" fontId="61" fillId="0" borderId="40" xfId="0" applyFont="1" applyFill="1" applyBorder="1" applyAlignment="1">
      <alignment horizontal="center" vertical="center" wrapText="1"/>
    </xf>
    <xf numFmtId="0" fontId="14" fillId="20" borderId="40" xfId="0" applyFont="1" applyFill="1" applyBorder="1" applyAlignment="1">
      <alignment horizontal="center" vertical="center" wrapText="1"/>
    </xf>
    <xf numFmtId="0" fontId="17" fillId="0" borderId="40" xfId="0" applyFont="1" applyFill="1" applyBorder="1" applyAlignment="1">
      <alignment horizontal="center" vertical="center"/>
    </xf>
    <xf numFmtId="0" fontId="7" fillId="0" borderId="12" xfId="0" applyFont="1" applyBorder="1" applyAlignment="1">
      <alignment horizontal="left" vertical="top" wrapText="1"/>
    </xf>
    <xf numFmtId="0" fontId="2" fillId="0" borderId="12" xfId="0" applyFont="1" applyBorder="1" applyAlignment="1">
      <alignment horizontal="left" vertical="top" wrapText="1"/>
    </xf>
    <xf numFmtId="0" fontId="58" fillId="0" borderId="12" xfId="0" applyFont="1" applyBorder="1" applyAlignment="1">
      <alignment horizontal="left" vertical="top" wrapText="1"/>
    </xf>
    <xf numFmtId="0" fontId="0" fillId="8" borderId="25" xfId="0" applyFont="1" applyFill="1" applyBorder="1" applyAlignment="1">
      <alignment vertical="top" wrapText="1" shrinkToFit="1"/>
    </xf>
    <xf numFmtId="0" fontId="0" fillId="8" borderId="0" xfId="0" applyFont="1" applyFill="1" applyBorder="1" applyAlignment="1">
      <alignment vertical="top"/>
    </xf>
    <xf numFmtId="0" fontId="0" fillId="8" borderId="25" xfId="0" applyFont="1" applyFill="1" applyBorder="1" applyAlignment="1">
      <alignment vertical="top" wrapText="1"/>
    </xf>
    <xf numFmtId="0" fontId="9" fillId="8" borderId="25" xfId="0" applyFont="1" applyFill="1" applyBorder="1" applyAlignment="1">
      <alignment vertical="top" wrapText="1"/>
    </xf>
    <xf numFmtId="0" fontId="2" fillId="8" borderId="50" xfId="0" applyFont="1" applyFill="1" applyBorder="1" applyAlignment="1">
      <alignment horizontal="center" vertical="top" wrapText="1" shrinkToFit="1"/>
    </xf>
    <xf numFmtId="0" fontId="4" fillId="8" borderId="10" xfId="0" applyFont="1" applyFill="1" applyBorder="1" applyAlignment="1">
      <alignment vertical="top" wrapText="1"/>
    </xf>
    <xf numFmtId="0" fontId="59" fillId="8" borderId="10" xfId="0" applyFont="1" applyFill="1" applyBorder="1" applyAlignment="1">
      <alignment vertical="top" wrapText="1"/>
    </xf>
    <xf numFmtId="0" fontId="58" fillId="8" borderId="25" xfId="0" applyNumberFormat="1" applyFont="1" applyFill="1" applyBorder="1" applyAlignment="1">
      <alignment vertical="top" wrapText="1"/>
    </xf>
    <xf numFmtId="0" fontId="0" fillId="8" borderId="25" xfId="0" applyNumberFormat="1" applyFont="1" applyFill="1" applyBorder="1" applyAlignment="1">
      <alignment vertical="top" wrapText="1"/>
    </xf>
    <xf numFmtId="0" fontId="0" fillId="8" borderId="10" xfId="0" applyFont="1" applyFill="1" applyBorder="1" applyAlignment="1">
      <alignment vertical="top" wrapText="1"/>
    </xf>
    <xf numFmtId="0" fontId="0" fillId="0" borderId="22" xfId="0" applyBorder="1" applyAlignment="1">
      <alignment/>
    </xf>
    <xf numFmtId="0" fontId="4" fillId="22" borderId="10" xfId="0" applyFont="1" applyFill="1" applyBorder="1" applyAlignment="1">
      <alignment horizontal="left" vertical="top" wrapText="1"/>
    </xf>
    <xf numFmtId="0" fontId="0" fillId="22" borderId="10" xfId="0" applyNumberFormat="1" applyFont="1" applyFill="1" applyBorder="1" applyAlignment="1">
      <alignment horizontal="left" vertical="top" wrapText="1"/>
    </xf>
    <xf numFmtId="0" fontId="0" fillId="22" borderId="11" xfId="0" applyFont="1" applyFill="1" applyBorder="1" applyAlignment="1">
      <alignment horizontal="center" vertical="top" wrapText="1"/>
    </xf>
    <xf numFmtId="0" fontId="7" fillId="0" borderId="51" xfId="0" applyFont="1" applyBorder="1" applyAlignment="1">
      <alignment horizontal="left" vertical="top" wrapText="1"/>
    </xf>
    <xf numFmtId="0" fontId="49" fillId="0" borderId="51" xfId="0" applyFont="1" applyFill="1" applyBorder="1" applyAlignment="1">
      <alignment horizontal="left" vertical="top" wrapText="1"/>
    </xf>
    <xf numFmtId="0" fontId="0" fillId="0" borderId="51" xfId="0" applyBorder="1" applyAlignment="1">
      <alignment horizontal="left" vertical="top" wrapText="1"/>
    </xf>
    <xf numFmtId="0" fontId="49" fillId="0" borderId="51" xfId="0" applyFont="1" applyBorder="1" applyAlignment="1">
      <alignment horizontal="left" vertical="top" wrapText="1"/>
    </xf>
    <xf numFmtId="0" fontId="0" fillId="0" borderId="52" xfId="0" applyBorder="1" applyAlignment="1">
      <alignment horizontal="left" vertical="top" wrapText="1"/>
    </xf>
    <xf numFmtId="0" fontId="2" fillId="0" borderId="53" xfId="0" applyFont="1" applyFill="1" applyBorder="1" applyAlignment="1">
      <alignment horizontal="center" vertical="center" wrapText="1"/>
    </xf>
    <xf numFmtId="0" fontId="2" fillId="0" borderId="53" xfId="0" applyFont="1" applyFill="1" applyBorder="1" applyAlignment="1">
      <alignment horizontal="center" vertical="center" wrapText="1"/>
    </xf>
    <xf numFmtId="172" fontId="2" fillId="0" borderId="53" xfId="42" applyNumberFormat="1" applyFont="1" applyFill="1" applyBorder="1" applyAlignment="1">
      <alignment horizontal="right" vertical="center" wrapText="1"/>
    </xf>
    <xf numFmtId="0" fontId="7" fillId="0" borderId="53" xfId="0" applyFont="1" applyFill="1" applyBorder="1" applyAlignment="1">
      <alignment horizontal="center" vertical="center"/>
    </xf>
    <xf numFmtId="0" fontId="0" fillId="0" borderId="54" xfId="0" applyBorder="1" applyAlignment="1">
      <alignment/>
    </xf>
    <xf numFmtId="0" fontId="0" fillId="22" borderId="32" xfId="0" applyFont="1" applyFill="1" applyBorder="1" applyAlignment="1">
      <alignment horizontal="center" vertical="top" wrapText="1"/>
    </xf>
    <xf numFmtId="0" fontId="0" fillId="8" borderId="55" xfId="0" applyFont="1" applyFill="1" applyBorder="1" applyAlignment="1">
      <alignment horizontal="left" vertical="top" wrapText="1"/>
    </xf>
    <xf numFmtId="3" fontId="0" fillId="8" borderId="31" xfId="0" applyNumberFormat="1" applyFont="1" applyFill="1" applyBorder="1" applyAlignment="1">
      <alignment horizontal="right" vertical="center"/>
    </xf>
    <xf numFmtId="0" fontId="14" fillId="0" borderId="31"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7" xfId="0" applyFont="1" applyFill="1" applyBorder="1" applyAlignment="1">
      <alignment horizontal="center" vertical="center"/>
    </xf>
    <xf numFmtId="0" fontId="2" fillId="22" borderId="18" xfId="0" applyFont="1" applyFill="1" applyBorder="1" applyAlignment="1">
      <alignment horizontal="center" vertical="center" wrapText="1"/>
    </xf>
    <xf numFmtId="0" fontId="2" fillId="22" borderId="19" xfId="0" applyFont="1" applyFill="1" applyBorder="1" applyAlignment="1">
      <alignment horizontal="center" vertical="center" wrapText="1"/>
    </xf>
    <xf numFmtId="172" fontId="2" fillId="22" borderId="19" xfId="42" applyNumberFormat="1" applyFont="1" applyFill="1" applyBorder="1" applyAlignment="1">
      <alignment horizontal="right" vertical="center" wrapText="1"/>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9" fillId="0" borderId="40" xfId="0" applyFont="1" applyFill="1" applyBorder="1" applyAlignment="1">
      <alignment horizontal="center" vertical="center" wrapText="1"/>
    </xf>
    <xf numFmtId="0" fontId="17" fillId="20" borderId="40" xfId="0" applyFont="1" applyFill="1" applyBorder="1" applyAlignment="1">
      <alignment horizontal="center" vertical="center"/>
    </xf>
    <xf numFmtId="0" fontId="0" fillId="0" borderId="22" xfId="0" applyBorder="1" applyAlignment="1">
      <alignment horizontal="left" vertical="top" wrapText="1"/>
    </xf>
    <xf numFmtId="0" fontId="15" fillId="0" borderId="22" xfId="0" applyFont="1" applyBorder="1" applyAlignment="1">
      <alignment horizontal="left" vertical="top" wrapText="1"/>
    </xf>
    <xf numFmtId="0" fontId="0" fillId="4" borderId="11" xfId="0" applyFont="1" applyFill="1" applyBorder="1" applyAlignment="1">
      <alignment horizontal="center" vertical="top" wrapText="1"/>
    </xf>
    <xf numFmtId="0" fontId="0" fillId="7" borderId="25" xfId="0" applyFont="1" applyFill="1" applyBorder="1" applyAlignment="1">
      <alignment vertical="top" wrapText="1" shrinkToFit="1"/>
    </xf>
    <xf numFmtId="0" fontId="0" fillId="4" borderId="10" xfId="0" applyFont="1" applyFill="1" applyBorder="1" applyAlignment="1">
      <alignment vertical="top" wrapText="1"/>
    </xf>
    <xf numFmtId="0" fontId="5" fillId="4" borderId="15" xfId="0" applyFont="1" applyFill="1" applyBorder="1" applyAlignment="1">
      <alignment horizontal="center" vertical="center"/>
    </xf>
    <xf numFmtId="0" fontId="0" fillId="7" borderId="11" xfId="0" applyFont="1" applyFill="1" applyBorder="1" applyAlignment="1">
      <alignment horizontal="left" vertical="top" wrapText="1"/>
    </xf>
    <xf numFmtId="3" fontId="49" fillId="7" borderId="10" xfId="0" applyNumberFormat="1" applyFont="1" applyFill="1" applyBorder="1" applyAlignment="1">
      <alignment horizontal="left" vertical="top" wrapText="1"/>
    </xf>
    <xf numFmtId="3" fontId="0" fillId="7" borderId="10" xfId="0" applyNumberFormat="1" applyFont="1" applyFill="1" applyBorder="1" applyAlignment="1">
      <alignment horizontal="left" vertical="top" wrapText="1"/>
    </xf>
    <xf numFmtId="3" fontId="25" fillId="7" borderId="10" xfId="0" applyNumberFormat="1" applyFont="1" applyFill="1" applyBorder="1" applyAlignment="1">
      <alignment horizontal="left" vertical="top" wrapText="1"/>
    </xf>
    <xf numFmtId="3" fontId="7" fillId="25" borderId="30" xfId="0" applyNumberFormat="1" applyFont="1" applyFill="1" applyBorder="1" applyAlignment="1">
      <alignment horizontal="left" vertical="top" wrapText="1"/>
    </xf>
    <xf numFmtId="0" fontId="0" fillId="7" borderId="11" xfId="0" applyFont="1" applyFill="1" applyBorder="1" applyAlignment="1">
      <alignment horizontal="center" vertical="top" wrapText="1"/>
    </xf>
    <xf numFmtId="0" fontId="53" fillId="25" borderId="11" xfId="0" applyFont="1" applyFill="1" applyBorder="1" applyAlignment="1">
      <alignment horizontal="left" vertical="top" wrapText="1"/>
    </xf>
    <xf numFmtId="0" fontId="53" fillId="25" borderId="12" xfId="0" applyFont="1" applyFill="1" applyBorder="1" applyAlignment="1">
      <alignment horizontal="left" vertical="top" wrapText="1"/>
    </xf>
    <xf numFmtId="0" fontId="54" fillId="25" borderId="11" xfId="0" applyFont="1" applyFill="1" applyBorder="1" applyAlignment="1">
      <alignment horizontal="left" vertical="top" wrapText="1"/>
    </xf>
    <xf numFmtId="0" fontId="7" fillId="0" borderId="11" xfId="0" applyFont="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1" fillId="0" borderId="11" xfId="0" applyFont="1" applyBorder="1" applyAlignment="1">
      <alignment horizontal="left" vertical="top" wrapText="1"/>
    </xf>
    <xf numFmtId="0" fontId="0" fillId="0" borderId="11" xfId="0" applyBorder="1" applyAlignment="1">
      <alignment horizontal="left" vertical="top" wrapText="1"/>
    </xf>
    <xf numFmtId="0" fontId="15" fillId="0" borderId="16" xfId="0" applyFont="1" applyBorder="1" applyAlignment="1">
      <alignment/>
    </xf>
    <xf numFmtId="0" fontId="0" fillId="8" borderId="10" xfId="0" applyFont="1" applyFill="1" applyBorder="1" applyAlignment="1">
      <alignment horizontal="left" vertical="top" wrapText="1"/>
    </xf>
    <xf numFmtId="0" fontId="7" fillId="8" borderId="10" xfId="0" applyFont="1" applyFill="1" applyBorder="1" applyAlignment="1">
      <alignment horizontal="left" vertical="top" wrapText="1"/>
    </xf>
    <xf numFmtId="0" fontId="25" fillId="8" borderId="10" xfId="0" applyFont="1" applyFill="1" applyBorder="1" applyAlignment="1">
      <alignment horizontal="left" vertical="top" wrapText="1"/>
    </xf>
    <xf numFmtId="0" fontId="15" fillId="25" borderId="11"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15" fillId="25" borderId="12"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ill="1" applyBorder="1" applyAlignment="1">
      <alignment horizontal="left" vertical="top" wrapText="1"/>
    </xf>
    <xf numFmtId="0" fontId="15" fillId="0" borderId="12" xfId="0" applyFont="1" applyFill="1" applyBorder="1" applyAlignment="1">
      <alignment horizontal="left" vertical="top" wrapText="1"/>
    </xf>
    <xf numFmtId="0" fontId="15" fillId="0" borderId="11" xfId="0" applyFont="1" applyFill="1" applyBorder="1" applyAlignment="1">
      <alignment horizontal="left" vertical="top" wrapText="1"/>
    </xf>
    <xf numFmtId="0" fontId="55" fillId="0" borderId="12" xfId="0" applyFont="1" applyFill="1" applyBorder="1" applyAlignment="1">
      <alignment horizontal="left" vertical="top" wrapText="1"/>
    </xf>
    <xf numFmtId="0" fontId="0" fillId="8" borderId="11" xfId="0" applyFont="1" applyFill="1" applyBorder="1" applyAlignment="1">
      <alignment horizontal="center" vertical="top" wrapText="1"/>
    </xf>
    <xf numFmtId="0" fontId="7" fillId="8" borderId="10" xfId="0" applyFont="1" applyFill="1" applyBorder="1" applyAlignment="1">
      <alignment vertical="top" wrapText="1"/>
    </xf>
    <xf numFmtId="0" fontId="0" fillId="8" borderId="10" xfId="0" applyFont="1" applyFill="1" applyBorder="1" applyAlignment="1">
      <alignment vertical="top" wrapText="1"/>
    </xf>
    <xf numFmtId="0" fontId="0" fillId="0" borderId="56" xfId="0" applyBorder="1" applyAlignment="1">
      <alignment/>
    </xf>
    <xf numFmtId="2" fontId="0" fillId="0" borderId="49" xfId="0" applyNumberFormat="1" applyFill="1" applyBorder="1" applyAlignment="1">
      <alignment horizontal="center" vertical="center" wrapText="1"/>
    </xf>
    <xf numFmtId="0" fontId="0" fillId="0" borderId="15" xfId="0" applyBorder="1" applyAlignment="1">
      <alignment/>
    </xf>
    <xf numFmtId="0" fontId="53" fillId="25" borderId="27" xfId="0" applyFont="1" applyFill="1" applyBorder="1" applyAlignment="1">
      <alignment horizontal="left" vertical="top" wrapText="1"/>
    </xf>
    <xf numFmtId="0" fontId="53" fillId="25" borderId="28" xfId="0" applyFont="1" applyFill="1" applyBorder="1" applyAlignment="1">
      <alignment horizontal="left" vertical="top" wrapText="1"/>
    </xf>
    <xf numFmtId="0" fontId="54" fillId="25" borderId="11" xfId="0" applyFont="1" applyFill="1" applyBorder="1" applyAlignment="1">
      <alignment horizontal="left" vertical="top" wrapText="1"/>
    </xf>
    <xf numFmtId="0" fontId="7" fillId="22" borderId="10" xfId="0" applyFont="1" applyFill="1" applyBorder="1" applyAlignment="1">
      <alignment horizontal="left" vertical="top" wrapText="1"/>
    </xf>
    <xf numFmtId="0" fontId="0" fillId="22" borderId="10" xfId="0" applyFont="1" applyFill="1" applyBorder="1" applyAlignment="1">
      <alignment horizontal="left" vertical="top" wrapText="1"/>
    </xf>
    <xf numFmtId="0" fontId="25" fillId="22" borderId="10" xfId="0" applyFont="1" applyFill="1" applyBorder="1" applyAlignment="1">
      <alignment horizontal="left" vertical="top" wrapText="1"/>
    </xf>
    <xf numFmtId="0" fontId="0" fillId="22" borderId="47" xfId="0" applyFont="1" applyFill="1" applyBorder="1" applyAlignment="1">
      <alignment horizontal="center" vertical="top" wrapText="1"/>
    </xf>
    <xf numFmtId="0" fontId="0" fillId="22" borderId="11" xfId="0" applyFont="1" applyFill="1" applyBorder="1" applyAlignment="1">
      <alignment horizontal="center" vertical="top" wrapText="1"/>
    </xf>
    <xf numFmtId="0" fontId="25" fillId="22" borderId="11" xfId="0" applyFont="1" applyFill="1" applyBorder="1" applyAlignment="1">
      <alignment horizontal="center" vertical="top" wrapText="1"/>
    </xf>
    <xf numFmtId="0" fontId="0" fillId="0" borderId="16" xfId="0" applyFill="1" applyBorder="1" applyAlignment="1">
      <alignment horizontal="left" vertical="top" wrapText="1"/>
    </xf>
    <xf numFmtId="0" fontId="0" fillId="0" borderId="22" xfId="0" applyFill="1" applyBorder="1" applyAlignment="1">
      <alignment horizontal="left" vertical="top" wrapText="1"/>
    </xf>
    <xf numFmtId="0" fontId="0" fillId="0" borderId="57" xfId="0" applyBorder="1" applyAlignment="1">
      <alignment/>
    </xf>
    <xf numFmtId="0" fontId="0" fillId="0" borderId="39" xfId="0" applyBorder="1" applyAlignment="1">
      <alignment/>
    </xf>
    <xf numFmtId="0" fontId="0" fillId="0" borderId="10" xfId="0" applyFont="1" applyFill="1" applyBorder="1" applyAlignment="1">
      <alignment horizontal="center" vertical="center"/>
    </xf>
    <xf numFmtId="172" fontId="69" fillId="0" borderId="10" xfId="0" applyNumberFormat="1" applyFont="1" applyFill="1" applyBorder="1" applyAlignment="1">
      <alignment vertical="center"/>
    </xf>
    <xf numFmtId="0" fontId="16" fillId="0" borderId="10" xfId="0" applyFont="1" applyBorder="1" applyAlignment="1">
      <alignment horizontal="center" vertical="center"/>
    </xf>
    <xf numFmtId="0" fontId="0" fillId="25" borderId="58" xfId="0" applyFont="1" applyFill="1" applyBorder="1" applyAlignment="1">
      <alignment horizontal="center" vertical="top" wrapText="1"/>
    </xf>
    <xf numFmtId="0" fontId="15" fillId="0" borderId="10" xfId="0" applyFont="1" applyFill="1" applyBorder="1" applyAlignment="1">
      <alignment wrapText="1"/>
    </xf>
    <xf numFmtId="0" fontId="15" fillId="0" borderId="0" xfId="0" applyFont="1" applyBorder="1" applyAlignment="1">
      <alignment wrapText="1"/>
    </xf>
    <xf numFmtId="0" fontId="70" fillId="0" borderId="0" xfId="0" applyFont="1" applyBorder="1" applyAlignment="1">
      <alignment wrapText="1"/>
    </xf>
    <xf numFmtId="0" fontId="15" fillId="0" borderId="0" xfId="0" applyFont="1" applyFill="1" applyBorder="1" applyAlignment="1">
      <alignment wrapText="1"/>
    </xf>
    <xf numFmtId="0" fontId="15" fillId="0" borderId="10" xfId="0" applyFont="1" applyBorder="1" applyAlignment="1">
      <alignment wrapText="1"/>
    </xf>
    <xf numFmtId="0" fontId="16" fillId="7" borderId="10" xfId="0" applyFont="1" applyFill="1" applyBorder="1" applyAlignment="1">
      <alignment horizontal="center" wrapText="1"/>
    </xf>
    <xf numFmtId="0" fontId="16" fillId="0" borderId="10" xfId="0" applyFont="1" applyFill="1" applyBorder="1" applyAlignment="1">
      <alignment horizontal="center" vertical="top" wrapText="1"/>
    </xf>
    <xf numFmtId="0" fontId="15" fillId="0" borderId="10" xfId="0" applyFont="1" applyFill="1" applyBorder="1" applyAlignment="1">
      <alignment wrapText="1"/>
    </xf>
    <xf numFmtId="0" fontId="15" fillId="20" borderId="10" xfId="0" applyFont="1" applyFill="1" applyBorder="1" applyAlignment="1">
      <alignment wrapText="1"/>
    </xf>
    <xf numFmtId="3" fontId="27" fillId="0" borderId="10" xfId="0" applyNumberFormat="1" applyFont="1" applyFill="1" applyBorder="1" applyAlignment="1" quotePrefix="1">
      <alignment horizontal="right" vertical="center" wrapText="1"/>
    </xf>
    <xf numFmtId="3" fontId="27" fillId="7" borderId="10" xfId="0" applyNumberFormat="1" applyFont="1" applyFill="1" applyBorder="1" applyAlignment="1" quotePrefix="1">
      <alignment horizontal="right" vertical="center" wrapText="1"/>
    </xf>
    <xf numFmtId="3" fontId="27" fillId="0" borderId="10" xfId="0" applyNumberFormat="1" applyFont="1" applyFill="1" applyBorder="1" applyAlignment="1">
      <alignment horizontal="right" vertical="center" wrapText="1"/>
    </xf>
    <xf numFmtId="3" fontId="27" fillId="8" borderId="10" xfId="0" applyNumberFormat="1" applyFont="1" applyFill="1" applyBorder="1" applyAlignment="1">
      <alignment horizontal="right" vertical="center" wrapText="1"/>
    </xf>
    <xf numFmtId="3" fontId="27" fillId="22" borderId="10" xfId="0" applyNumberFormat="1" applyFont="1" applyFill="1" applyBorder="1" applyAlignment="1" quotePrefix="1">
      <alignment horizontal="right" vertical="center" wrapText="1"/>
    </xf>
    <xf numFmtId="3" fontId="21" fillId="0" borderId="10" xfId="0" applyNumberFormat="1" applyFont="1" applyFill="1" applyBorder="1" applyAlignment="1">
      <alignment horizontal="right" vertical="center" wrapText="1"/>
    </xf>
    <xf numFmtId="3" fontId="21" fillId="14" borderId="10" xfId="0" applyNumberFormat="1" applyFont="1" applyFill="1" applyBorder="1" applyAlignment="1">
      <alignment horizontal="right" vertical="center" wrapText="1"/>
    </xf>
    <xf numFmtId="0" fontId="15" fillId="7" borderId="10" xfId="0" applyFont="1" applyFill="1" applyBorder="1" applyAlignment="1">
      <alignment horizontal="left" vertical="top" wrapText="1"/>
    </xf>
    <xf numFmtId="0" fontId="62" fillId="7" borderId="14" xfId="0" applyFont="1" applyFill="1" applyBorder="1" applyAlignment="1">
      <alignment horizontal="left" vertical="top" wrapText="1"/>
    </xf>
    <xf numFmtId="0" fontId="16" fillId="8" borderId="10" xfId="0" applyFont="1" applyFill="1" applyBorder="1" applyAlignment="1">
      <alignment horizontal="center" vertical="center" wrapText="1"/>
    </xf>
    <xf numFmtId="0" fontId="16" fillId="8" borderId="10" xfId="0" applyFont="1" applyFill="1" applyBorder="1" applyAlignment="1">
      <alignment horizontal="center" wrapText="1"/>
    </xf>
    <xf numFmtId="0" fontId="16" fillId="7" borderId="41" xfId="0" applyFont="1" applyFill="1" applyBorder="1" applyAlignment="1">
      <alignment horizontal="center" vertical="center" wrapText="1"/>
    </xf>
    <xf numFmtId="0" fontId="15" fillId="8" borderId="10"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25" borderId="10" xfId="0" applyFont="1" applyFill="1" applyBorder="1" applyAlignment="1">
      <alignment horizontal="left" vertical="top" wrapText="1"/>
    </xf>
    <xf numFmtId="0" fontId="15" fillId="25" borderId="10" xfId="0" applyFont="1" applyFill="1" applyBorder="1" applyAlignment="1">
      <alignment horizontal="left" vertical="top" wrapText="1"/>
    </xf>
    <xf numFmtId="0" fontId="16" fillId="22" borderId="10" xfId="0" applyFont="1" applyFill="1" applyBorder="1" applyAlignment="1">
      <alignment horizontal="center" vertical="center" wrapText="1"/>
    </xf>
    <xf numFmtId="0" fontId="16" fillId="22" borderId="10" xfId="0" applyFont="1" applyFill="1" applyBorder="1" applyAlignment="1">
      <alignment horizontal="center" wrapText="1"/>
    </xf>
    <xf numFmtId="0" fontId="21" fillId="7" borderId="10"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21" fillId="22" borderId="10" xfId="0" applyFont="1" applyFill="1" applyBorder="1" applyAlignment="1">
      <alignment horizontal="center" vertical="center" wrapText="1"/>
    </xf>
    <xf numFmtId="0" fontId="15" fillId="0" borderId="0" xfId="0" applyFont="1" applyFill="1" applyBorder="1" applyAlignment="1">
      <alignment wrapText="1"/>
    </xf>
    <xf numFmtId="0" fontId="16" fillId="0" borderId="15" xfId="0" applyFont="1" applyBorder="1" applyAlignment="1">
      <alignment horizontal="center" vertical="top" wrapText="1"/>
    </xf>
    <xf numFmtId="0" fontId="15" fillId="0" borderId="15" xfId="0" applyFont="1" applyFill="1" applyBorder="1" applyAlignment="1">
      <alignment wrapText="1"/>
    </xf>
    <xf numFmtId="0" fontId="0" fillId="0" borderId="0" xfId="0" applyBorder="1" applyAlignment="1">
      <alignment wrapText="1"/>
    </xf>
    <xf numFmtId="0" fontId="15" fillId="0" borderId="12" xfId="0" applyFont="1" applyFill="1" applyBorder="1" applyAlignment="1">
      <alignment horizontal="left" vertical="top" wrapText="1"/>
    </xf>
    <xf numFmtId="0" fontId="16" fillId="7" borderId="23" xfId="0" applyFont="1" applyFill="1" applyBorder="1" applyAlignment="1">
      <alignment horizontal="center" wrapText="1"/>
    </xf>
    <xf numFmtId="0" fontId="15" fillId="0" borderId="10" xfId="0" applyFont="1" applyBorder="1" applyAlignment="1">
      <alignment horizontal="right" vertical="center" wrapText="1"/>
    </xf>
    <xf numFmtId="0" fontId="70" fillId="0" borderId="0" xfId="0" applyFont="1" applyFill="1" applyBorder="1" applyAlignment="1">
      <alignment wrapText="1"/>
    </xf>
    <xf numFmtId="0" fontId="15" fillId="0" borderId="10" xfId="0" applyFont="1" applyBorder="1" applyAlignment="1">
      <alignment horizontal="right" vertical="top" wrapText="1"/>
    </xf>
    <xf numFmtId="3" fontId="15" fillId="0" borderId="10" xfId="0" applyNumberFormat="1" applyFont="1" applyBorder="1" applyAlignment="1">
      <alignment horizontal="right" vertical="top" wrapText="1"/>
    </xf>
    <xf numFmtId="0" fontId="16" fillId="25" borderId="10" xfId="0" applyFont="1" applyFill="1" applyBorder="1" applyAlignment="1">
      <alignment horizontal="center" vertical="top" wrapText="1"/>
    </xf>
    <xf numFmtId="172" fontId="15" fillId="25" borderId="10" xfId="42" applyNumberFormat="1" applyFont="1" applyFill="1" applyBorder="1" applyAlignment="1">
      <alignment horizontal="right" vertical="top" wrapText="1"/>
    </xf>
    <xf numFmtId="172" fontId="16" fillId="7" borderId="10" xfId="42" applyNumberFormat="1" applyFont="1" applyFill="1" applyBorder="1" applyAlignment="1">
      <alignment horizontal="right" vertical="top" wrapText="1"/>
    </xf>
    <xf numFmtId="172" fontId="15" fillId="7" borderId="10" xfId="42" applyNumberFormat="1" applyFont="1" applyFill="1" applyBorder="1" applyAlignment="1">
      <alignment horizontal="right" vertical="top" wrapText="1"/>
    </xf>
    <xf numFmtId="172" fontId="63" fillId="7" borderId="59" xfId="42" applyNumberFormat="1" applyFont="1" applyFill="1" applyBorder="1" applyAlignment="1">
      <alignment horizontal="right" vertical="top" wrapText="1"/>
    </xf>
    <xf numFmtId="172" fontId="63" fillId="22" borderId="59" xfId="42" applyNumberFormat="1" applyFont="1" applyFill="1" applyBorder="1" applyAlignment="1">
      <alignment horizontal="right" vertical="top" wrapText="1"/>
    </xf>
    <xf numFmtId="0" fontId="16" fillId="0" borderId="15" xfId="0" applyFont="1" applyFill="1" applyBorder="1" applyAlignment="1">
      <alignment vertical="center" wrapText="1"/>
    </xf>
    <xf numFmtId="172" fontId="16" fillId="0" borderId="15" xfId="0" applyNumberFormat="1" applyFont="1" applyFill="1" applyBorder="1" applyAlignment="1">
      <alignment horizontal="right" vertical="center" wrapText="1"/>
    </xf>
    <xf numFmtId="4" fontId="15" fillId="0" borderId="10" xfId="0" applyNumberFormat="1" applyFont="1" applyBorder="1" applyAlignment="1">
      <alignment horizontal="right" vertical="center" wrapText="1"/>
    </xf>
    <xf numFmtId="0" fontId="16" fillId="0" borderId="15" xfId="0" applyFont="1" applyFill="1" applyBorder="1" applyAlignment="1">
      <alignment horizontal="center" vertical="top" wrapText="1"/>
    </xf>
    <xf numFmtId="0" fontId="16" fillId="0" borderId="0" xfId="0" applyFont="1" applyBorder="1" applyAlignment="1">
      <alignment wrapText="1"/>
    </xf>
    <xf numFmtId="0" fontId="0" fillId="0" borderId="10" xfId="0" applyFill="1" applyBorder="1" applyAlignment="1">
      <alignment horizontal="center" wrapText="1"/>
    </xf>
    <xf numFmtId="3" fontId="15" fillId="0" borderId="10" xfId="0" applyNumberFormat="1" applyFont="1" applyFill="1" applyBorder="1" applyAlignment="1">
      <alignment vertical="center" wrapText="1"/>
    </xf>
    <xf numFmtId="0" fontId="62" fillId="7" borderId="10" xfId="0" applyFont="1" applyFill="1" applyBorder="1" applyAlignment="1">
      <alignment horizontal="left" vertical="top" wrapText="1"/>
    </xf>
    <xf numFmtId="172" fontId="63" fillId="22" borderId="25" xfId="42" applyNumberFormat="1" applyFont="1" applyFill="1" applyBorder="1" applyAlignment="1">
      <alignment horizontal="right" vertical="top" wrapText="1"/>
    </xf>
    <xf numFmtId="0" fontId="16" fillId="0" borderId="15" xfId="0" applyFont="1" applyBorder="1" applyAlignment="1">
      <alignment horizontal="center" vertical="center" wrapText="1"/>
    </xf>
    <xf numFmtId="0" fontId="21" fillId="14" borderId="10" xfId="0"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Fill="1" applyBorder="1" applyAlignment="1">
      <alignment vertical="center" wrapText="1"/>
    </xf>
    <xf numFmtId="172" fontId="16" fillId="0" borderId="0" xfId="0" applyNumberFormat="1" applyFont="1" applyFill="1" applyBorder="1" applyAlignment="1">
      <alignment horizontal="right" vertical="center" wrapText="1"/>
    </xf>
    <xf numFmtId="0" fontId="15" fillId="0" borderId="60" xfId="0" applyFont="1" applyBorder="1" applyAlignment="1">
      <alignment wrapText="1"/>
    </xf>
    <xf numFmtId="0" fontId="16" fillId="0" borderId="0" xfId="0" applyFont="1" applyBorder="1" applyAlignment="1">
      <alignment horizontal="center" vertical="top" wrapText="1"/>
    </xf>
    <xf numFmtId="0" fontId="16" fillId="0" borderId="61" xfId="0" applyFont="1" applyBorder="1" applyAlignment="1">
      <alignment wrapText="1"/>
    </xf>
    <xf numFmtId="0" fontId="16" fillId="0" borderId="61" xfId="0" applyFont="1" applyFill="1" applyBorder="1" applyAlignment="1">
      <alignment wrapText="1"/>
    </xf>
    <xf numFmtId="172" fontId="16" fillId="0" borderId="61" xfId="0" applyNumberFormat="1" applyFont="1" applyFill="1" applyBorder="1" applyAlignment="1">
      <alignment horizontal="right" wrapText="1"/>
    </xf>
    <xf numFmtId="0" fontId="16" fillId="0" borderId="53" xfId="0" applyFont="1" applyBorder="1" applyAlignment="1">
      <alignment horizontal="center" vertical="top" wrapText="1"/>
    </xf>
    <xf numFmtId="0" fontId="15" fillId="0" borderId="15" xfId="0" applyFont="1" applyBorder="1" applyAlignment="1">
      <alignment horizontal="right" vertical="center" wrapText="1"/>
    </xf>
    <xf numFmtId="3" fontId="15" fillId="0" borderId="15" xfId="0" applyNumberFormat="1" applyFont="1" applyBorder="1" applyAlignment="1">
      <alignment horizontal="right" vertical="center" wrapText="1"/>
    </xf>
    <xf numFmtId="0" fontId="0" fillId="4" borderId="11" xfId="0" applyFont="1" applyFill="1" applyBorder="1" applyAlignment="1">
      <alignment horizontal="left" vertical="top" wrapText="1"/>
    </xf>
    <xf numFmtId="0" fontId="0" fillId="7" borderId="11" xfId="0" applyFont="1" applyFill="1" applyBorder="1" applyAlignment="1">
      <alignment horizontal="left" vertical="top" wrapText="1"/>
    </xf>
    <xf numFmtId="0" fontId="0" fillId="7" borderId="11" xfId="0" applyFont="1" applyFill="1" applyBorder="1" applyAlignment="1">
      <alignment horizontal="left" vertical="top" wrapText="1" shrinkToFit="1"/>
    </xf>
    <xf numFmtId="0" fontId="0" fillId="8" borderId="11" xfId="0" applyFont="1" applyFill="1" applyBorder="1" applyAlignment="1">
      <alignment horizontal="left" vertical="top" wrapText="1"/>
    </xf>
    <xf numFmtId="0" fontId="0" fillId="8" borderId="11" xfId="0" applyFont="1" applyFill="1" applyBorder="1" applyAlignment="1">
      <alignment horizontal="left" vertical="top" wrapText="1" shrinkToFit="1"/>
    </xf>
    <xf numFmtId="0" fontId="0" fillId="8" borderId="44" xfId="0" applyFont="1" applyFill="1" applyBorder="1" applyAlignment="1">
      <alignment horizontal="left" vertical="top" wrapText="1" shrinkToFit="1"/>
    </xf>
    <xf numFmtId="0" fontId="0" fillId="22" borderId="47" xfId="0" applyFont="1" applyFill="1" applyBorder="1" applyAlignment="1">
      <alignment vertical="top" wrapText="1"/>
    </xf>
    <xf numFmtId="3" fontId="0" fillId="22" borderId="41" xfId="0" applyNumberFormat="1" applyFont="1" applyFill="1" applyBorder="1" applyAlignment="1">
      <alignment horizontal="right" vertical="center"/>
    </xf>
    <xf numFmtId="0" fontId="12" fillId="20" borderId="41" xfId="0" applyFont="1" applyFill="1" applyBorder="1" applyAlignment="1">
      <alignment vertical="top"/>
    </xf>
    <xf numFmtId="0" fontId="12" fillId="0" borderId="41" xfId="0" applyFont="1" applyBorder="1" applyAlignment="1">
      <alignment vertical="top"/>
    </xf>
    <xf numFmtId="0" fontId="12" fillId="0" borderId="62" xfId="0" applyFont="1" applyBorder="1" applyAlignment="1">
      <alignment vertical="top"/>
    </xf>
    <xf numFmtId="0" fontId="0" fillId="0" borderId="63" xfId="0" applyFont="1" applyBorder="1" applyAlignment="1">
      <alignment horizontal="left" vertical="top" wrapText="1"/>
    </xf>
    <xf numFmtId="0" fontId="0" fillId="4" borderId="12" xfId="0" applyFont="1" applyFill="1" applyBorder="1" applyAlignment="1">
      <alignment horizontal="left" vertical="top" wrapText="1"/>
    </xf>
    <xf numFmtId="0" fontId="0" fillId="0" borderId="12" xfId="0" applyFont="1" applyBorder="1" applyAlignment="1">
      <alignment horizontal="left" vertical="top" wrapText="1"/>
    </xf>
    <xf numFmtId="0" fontId="4" fillId="0" borderId="22" xfId="0" applyFont="1" applyBorder="1" applyAlignment="1">
      <alignment horizontal="center" wrapText="1"/>
    </xf>
    <xf numFmtId="0" fontId="4" fillId="0" borderId="64" xfId="0" applyFont="1" applyBorder="1" applyAlignment="1">
      <alignment horizontal="center" wrapText="1"/>
    </xf>
    <xf numFmtId="0" fontId="0" fillId="0" borderId="37" xfId="0" applyFont="1" applyBorder="1" applyAlignment="1">
      <alignment horizontal="left" vertical="top" wrapText="1"/>
    </xf>
    <xf numFmtId="0" fontId="0" fillId="0" borderId="12" xfId="0" applyFont="1" applyBorder="1" applyAlignment="1">
      <alignment horizontal="left" vertical="top" wrapText="1"/>
    </xf>
    <xf numFmtId="0" fontId="0" fillId="4" borderId="12" xfId="0" applyFill="1" applyBorder="1" applyAlignment="1">
      <alignment horizontal="left" vertical="top" wrapText="1"/>
    </xf>
    <xf numFmtId="0" fontId="0" fillId="0" borderId="12" xfId="0" applyBorder="1" applyAlignment="1">
      <alignment horizontal="left" vertical="top" wrapText="1"/>
    </xf>
    <xf numFmtId="0" fontId="4" fillId="0" borderId="22" xfId="0" applyFont="1" applyBorder="1" applyAlignment="1">
      <alignment horizontal="left" vertical="top" wrapText="1"/>
    </xf>
    <xf numFmtId="0" fontId="64" fillId="0" borderId="0" xfId="0" applyFont="1" applyAlignment="1">
      <alignment/>
    </xf>
    <xf numFmtId="3" fontId="2" fillId="7" borderId="16" xfId="0" applyNumberFormat="1" applyFont="1" applyFill="1" applyBorder="1" applyAlignment="1">
      <alignment horizontal="left" vertical="center" wrapText="1"/>
    </xf>
    <xf numFmtId="0" fontId="4" fillId="0" borderId="15" xfId="0" applyFont="1" applyBorder="1" applyAlignment="1">
      <alignment vertical="center" wrapText="1"/>
    </xf>
    <xf numFmtId="0" fontId="4" fillId="0" borderId="15" xfId="0" applyFont="1" applyBorder="1" applyAlignment="1">
      <alignment/>
    </xf>
    <xf numFmtId="0" fontId="4" fillId="0" borderId="22" xfId="0" applyFont="1" applyBorder="1" applyAlignment="1">
      <alignment/>
    </xf>
    <xf numFmtId="0" fontId="4" fillId="0" borderId="56" xfId="0" applyFont="1" applyBorder="1" applyAlignment="1">
      <alignment vertical="center" wrapText="1"/>
    </xf>
    <xf numFmtId="0" fontId="7" fillId="0" borderId="12" xfId="0" applyFont="1" applyBorder="1" applyAlignment="1">
      <alignment vertical="top" wrapText="1"/>
    </xf>
    <xf numFmtId="0" fontId="7" fillId="9" borderId="12" xfId="0" applyFont="1" applyFill="1" applyBorder="1" applyAlignment="1">
      <alignment horizontal="left" vertical="top" wrapText="1"/>
    </xf>
    <xf numFmtId="0" fontId="25" fillId="0" borderId="12" xfId="0" applyFont="1" applyBorder="1" applyAlignment="1">
      <alignment vertical="top" wrapText="1"/>
    </xf>
    <xf numFmtId="0" fontId="25" fillId="0" borderId="12" xfId="0" applyFont="1" applyBorder="1" applyAlignment="1">
      <alignment vertical="top" wrapText="1"/>
    </xf>
    <xf numFmtId="0" fontId="0" fillId="22" borderId="41" xfId="0" applyFont="1" applyFill="1" applyBorder="1" applyAlignment="1">
      <alignment vertical="top" wrapText="1"/>
    </xf>
    <xf numFmtId="3" fontId="64" fillId="0" borderId="0" xfId="0" applyNumberFormat="1" applyFont="1" applyAlignment="1">
      <alignment/>
    </xf>
    <xf numFmtId="0" fontId="2" fillId="22" borderId="32" xfId="0" applyFont="1" applyFill="1" applyBorder="1" applyAlignment="1">
      <alignment horizontal="left" vertical="center" wrapText="1"/>
    </xf>
    <xf numFmtId="3" fontId="16" fillId="22" borderId="31" xfId="0" applyNumberFormat="1" applyFont="1" applyFill="1" applyBorder="1" applyAlignment="1">
      <alignment horizontal="right" vertical="center"/>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xf>
    <xf numFmtId="0" fontId="4" fillId="0" borderId="37" xfId="0" applyFont="1" applyBorder="1" applyAlignment="1">
      <alignment vertical="center" wrapText="1"/>
    </xf>
    <xf numFmtId="0" fontId="4" fillId="0" borderId="54" xfId="0" applyFont="1" applyBorder="1" applyAlignment="1">
      <alignment vertical="center" wrapText="1"/>
    </xf>
    <xf numFmtId="3" fontId="16" fillId="0" borderId="0" xfId="0" applyNumberFormat="1" applyFont="1" applyFill="1" applyBorder="1" applyAlignment="1">
      <alignment horizontal="right" vertical="center"/>
    </xf>
    <xf numFmtId="0" fontId="15" fillId="25" borderId="12" xfId="0" applyFont="1" applyFill="1" applyBorder="1" applyAlignment="1">
      <alignment horizontal="left" vertical="top" wrapText="1"/>
    </xf>
    <xf numFmtId="0" fontId="0" fillId="22" borderId="65" xfId="0" applyFont="1" applyFill="1" applyBorder="1" applyAlignment="1">
      <alignment vertical="top" wrapText="1"/>
    </xf>
    <xf numFmtId="0" fontId="8" fillId="25" borderId="11" xfId="0" applyFont="1" applyFill="1" applyBorder="1" applyAlignment="1">
      <alignment horizontal="left" vertical="top" wrapText="1"/>
    </xf>
    <xf numFmtId="0" fontId="8" fillId="25" borderId="12" xfId="0" applyFont="1" applyFill="1" applyBorder="1" applyAlignment="1">
      <alignment horizontal="left" vertical="top" wrapText="1"/>
    </xf>
    <xf numFmtId="3" fontId="3" fillId="0" borderId="10" xfId="0" applyNumberFormat="1" applyFont="1" applyFill="1" applyBorder="1" applyAlignment="1">
      <alignment horizontal="right" vertical="top"/>
    </xf>
    <xf numFmtId="0" fontId="0" fillId="0" borderId="10" xfId="0" applyFont="1" applyFill="1" applyBorder="1" applyAlignment="1">
      <alignment vertical="top" wrapText="1" shrinkToFit="1"/>
    </xf>
    <xf numFmtId="0" fontId="49" fillId="0" borderId="10" xfId="0" applyFont="1" applyFill="1" applyBorder="1" applyAlignment="1">
      <alignment vertical="top" wrapText="1"/>
    </xf>
    <xf numFmtId="0" fontId="0" fillId="0" borderId="10" xfId="0" applyFont="1" applyFill="1" applyBorder="1" applyAlignment="1">
      <alignment vertical="top" wrapText="1" shrinkToFit="1"/>
    </xf>
    <xf numFmtId="4" fontId="2" fillId="0" borderId="0" xfId="0" applyNumberFormat="1" applyFont="1" applyAlignment="1">
      <alignment horizontal="left" vertical="center"/>
    </xf>
    <xf numFmtId="0" fontId="2"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0" fontId="0" fillId="0" borderId="10" xfId="0" applyFont="1" applyFill="1" applyBorder="1" applyAlignment="1">
      <alignment vertical="top" wrapText="1"/>
    </xf>
    <xf numFmtId="0" fontId="49" fillId="0" borderId="10" xfId="0" applyFont="1" applyFill="1" applyBorder="1" applyAlignment="1">
      <alignment vertical="top" wrapText="1"/>
    </xf>
    <xf numFmtId="0" fontId="0" fillId="0" borderId="10" xfId="0" applyNumberFormat="1" applyFont="1" applyFill="1" applyBorder="1" applyAlignment="1">
      <alignment vertical="top" wrapText="1"/>
    </xf>
    <xf numFmtId="0" fontId="49" fillId="0" borderId="10" xfId="0" applyFont="1" applyFill="1" applyBorder="1" applyAlignment="1">
      <alignment vertical="top" wrapText="1" shrinkToFit="1"/>
    </xf>
    <xf numFmtId="2" fontId="52" fillId="17" borderId="10" xfId="0" applyNumberFormat="1" applyFont="1" applyFill="1" applyBorder="1" applyAlignment="1">
      <alignment horizontal="center" vertical="center" wrapText="1"/>
    </xf>
    <xf numFmtId="2" fontId="15" fillId="17" borderId="10" xfId="0" applyNumberFormat="1" applyFont="1" applyFill="1" applyBorder="1" applyAlignment="1">
      <alignment horizontal="center" vertical="center" wrapText="1"/>
    </xf>
    <xf numFmtId="0" fontId="65" fillId="0" borderId="10" xfId="0" applyBorder="1" applyAlignment="1">
      <alignment vertical="center"/>
    </xf>
    <xf numFmtId="0" fontId="65" fillId="0" borderId="0" xfId="0" applyFill="1" applyBorder="1" applyAlignment="1">
      <alignment vertical="center"/>
    </xf>
    <xf numFmtId="0" fontId="65" fillId="0" borderId="0" xfId="0" applyFill="1" applyBorder="1" applyAlignment="1">
      <alignment horizontal="center" vertical="center"/>
    </xf>
    <xf numFmtId="0" fontId="0" fillId="0" borderId="0" xfId="0" applyFont="1" applyBorder="1" applyAlignment="1">
      <alignment horizontal="center" vertical="center"/>
    </xf>
    <xf numFmtId="0" fontId="2" fillId="0" borderId="0" xfId="0" applyFont="1" applyAlignment="1">
      <alignment horizontal="left" vertical="center"/>
    </xf>
    <xf numFmtId="0" fontId="0" fillId="0" borderId="0" xfId="0" applyFont="1" applyAlignment="1">
      <alignment horizontal="left" vertical="center"/>
    </xf>
    <xf numFmtId="0" fontId="0" fillId="0" borderId="0" xfId="0" applyFont="1" applyFill="1" applyBorder="1" applyAlignment="1">
      <alignment horizontal="left" vertical="center"/>
    </xf>
    <xf numFmtId="3" fontId="0" fillId="0" borderId="40" xfId="0" applyNumberFormat="1" applyFont="1" applyFill="1" applyBorder="1" applyAlignment="1">
      <alignment horizontal="center" vertical="center" wrapText="1"/>
    </xf>
    <xf numFmtId="3" fontId="49" fillId="0" borderId="40" xfId="0" applyNumberFormat="1" applyFont="1" applyFill="1" applyBorder="1" applyAlignment="1">
      <alignment horizontal="center" vertical="center" wrapText="1"/>
    </xf>
    <xf numFmtId="3" fontId="0" fillId="0" borderId="40" xfId="0" applyNumberFormat="1" applyFont="1" applyFill="1" applyBorder="1" applyAlignment="1">
      <alignment horizontal="center" vertical="center" wrapText="1"/>
    </xf>
    <xf numFmtId="0" fontId="0" fillId="0" borderId="41" xfId="0" applyFont="1" applyFill="1" applyBorder="1" applyAlignment="1">
      <alignment horizontal="center" vertical="center" wrapText="1"/>
    </xf>
    <xf numFmtId="0" fontId="65" fillId="25" borderId="41" xfId="0" applyFill="1" applyBorder="1" applyAlignment="1">
      <alignment horizontal="center" vertical="center" wrapText="1"/>
    </xf>
    <xf numFmtId="0" fontId="7" fillId="11" borderId="41" xfId="0" applyFont="1" applyFill="1" applyBorder="1" applyAlignment="1">
      <alignment horizontal="center" vertical="center" wrapText="1"/>
    </xf>
    <xf numFmtId="0" fontId="0" fillId="0" borderId="41" xfId="0" applyFont="1" applyFill="1" applyBorder="1" applyAlignment="1">
      <alignment/>
    </xf>
    <xf numFmtId="0" fontId="7" fillId="0" borderId="10" xfId="0" applyFont="1" applyBorder="1" applyAlignment="1">
      <alignment horizontal="left" vertical="top" wrapText="1"/>
    </xf>
    <xf numFmtId="0" fontId="7" fillId="0" borderId="10" xfId="0" applyFont="1" applyFill="1" applyBorder="1" applyAlignment="1">
      <alignment horizontal="left" vertical="top" wrapText="1"/>
    </xf>
    <xf numFmtId="0" fontId="0" fillId="0" borderId="10" xfId="0" applyFont="1" applyBorder="1" applyAlignment="1">
      <alignment vertical="top"/>
    </xf>
    <xf numFmtId="0" fontId="65" fillId="0" borderId="10" xfId="0" applyBorder="1" applyAlignment="1">
      <alignment horizontal="left" vertical="top"/>
    </xf>
    <xf numFmtId="0" fontId="0" fillId="0" borderId="10" xfId="0" applyFont="1" applyFill="1" applyBorder="1" applyAlignment="1">
      <alignment vertical="top" wrapText="1"/>
    </xf>
    <xf numFmtId="0" fontId="7" fillId="0" borderId="10" xfId="0" applyFont="1" applyBorder="1" applyAlignment="1">
      <alignment vertical="top" wrapText="1"/>
    </xf>
    <xf numFmtId="0" fontId="65" fillId="0" borderId="10" xfId="0" applyBorder="1" applyAlignment="1">
      <alignment vertical="top"/>
    </xf>
    <xf numFmtId="3" fontId="0" fillId="0" borderId="66" xfId="0" applyNumberFormat="1" applyFont="1" applyFill="1" applyBorder="1" applyAlignment="1">
      <alignment horizontal="center" vertical="center" wrapText="1"/>
    </xf>
    <xf numFmtId="3" fontId="49" fillId="0" borderId="66" xfId="0" applyNumberFormat="1" applyFont="1" applyFill="1" applyBorder="1" applyAlignment="1">
      <alignment horizontal="center" vertical="center" wrapText="1"/>
    </xf>
    <xf numFmtId="0" fontId="7" fillId="0" borderId="10" xfId="0" applyFont="1" applyBorder="1" applyAlignment="1">
      <alignment vertical="top"/>
    </xf>
    <xf numFmtId="0" fontId="0" fillId="0" borderId="10" xfId="0" applyFont="1" applyBorder="1" applyAlignment="1">
      <alignment vertical="top" wrapText="1" shrinkToFit="1"/>
    </xf>
    <xf numFmtId="0" fontId="7" fillId="0" borderId="10" xfId="0" applyFont="1" applyFill="1" applyBorder="1" applyAlignment="1">
      <alignment horizontal="justify" vertical="center" wrapText="1"/>
    </xf>
    <xf numFmtId="0" fontId="49" fillId="0" borderId="31" xfId="0" applyFont="1" applyFill="1" applyBorder="1" applyAlignment="1">
      <alignment vertical="top" wrapText="1"/>
    </xf>
    <xf numFmtId="3" fontId="49" fillId="0" borderId="31"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25" borderId="31" xfId="0" applyFont="1" applyFill="1" applyBorder="1" applyAlignment="1">
      <alignment horizontal="center" vertical="center"/>
    </xf>
    <xf numFmtId="0" fontId="0" fillId="11" borderId="31" xfId="0" applyFont="1" applyFill="1" applyBorder="1" applyAlignment="1">
      <alignment horizontal="center" vertical="center"/>
    </xf>
    <xf numFmtId="2" fontId="7" fillId="0" borderId="10" xfId="0" applyNumberFormat="1" applyFont="1" applyFill="1" applyBorder="1" applyAlignment="1">
      <alignment horizontal="center" vertical="center" wrapText="1"/>
    </xf>
    <xf numFmtId="0" fontId="49" fillId="0" borderId="10" xfId="0" applyFont="1" applyFill="1" applyBorder="1" applyAlignment="1">
      <alignment vertical="center" wrapText="1" shrinkToFit="1"/>
    </xf>
    <xf numFmtId="0" fontId="7" fillId="0" borderId="10" xfId="0" applyFont="1" applyFill="1" applyBorder="1" applyAlignment="1">
      <alignment vertical="center" wrapText="1"/>
    </xf>
    <xf numFmtId="0" fontId="7" fillId="0" borderId="10" xfId="0" applyFont="1" applyFill="1" applyBorder="1" applyAlignment="1">
      <alignment vertical="top" wrapText="1"/>
    </xf>
    <xf numFmtId="0" fontId="0" fillId="0" borderId="10" xfId="0" applyFont="1" applyFill="1" applyBorder="1" applyAlignment="1">
      <alignment vertical="center" wrapText="1" shrinkToFit="1"/>
    </xf>
    <xf numFmtId="2" fontId="73" fillId="17" borderId="10" xfId="0" applyNumberFormat="1" applyFont="1" applyFill="1" applyBorder="1" applyAlignment="1">
      <alignment horizontal="center" vertical="center" wrapText="1"/>
    </xf>
    <xf numFmtId="4" fontId="2" fillId="0" borderId="0" xfId="0" applyNumberFormat="1" applyFont="1" applyFill="1" applyAlignment="1">
      <alignment horizontal="left" vertical="center"/>
    </xf>
    <xf numFmtId="0" fontId="64" fillId="28" borderId="10" xfId="0" applyFont="1" applyFill="1" applyBorder="1" applyAlignment="1">
      <alignment horizontal="center" vertical="center" wrapText="1"/>
    </xf>
    <xf numFmtId="0" fontId="2" fillId="0" borderId="0" xfId="0" applyFont="1" applyAlignment="1">
      <alignment horizontal="left"/>
    </xf>
    <xf numFmtId="0" fontId="15" fillId="0" borderId="0" xfId="0" applyFont="1" applyBorder="1" applyAlignment="1">
      <alignment horizontal="right" vertical="center"/>
    </xf>
    <xf numFmtId="0" fontId="68" fillId="0" borderId="10" xfId="0" applyFont="1" applyFill="1" applyBorder="1" applyAlignment="1">
      <alignment vertical="top" wrapText="1" shrinkToFit="1"/>
    </xf>
    <xf numFmtId="0" fontId="0" fillId="22" borderId="10" xfId="0" applyFont="1" applyFill="1" applyBorder="1" applyAlignment="1">
      <alignment vertical="top" wrapText="1" shrinkToFit="1"/>
    </xf>
    <xf numFmtId="0" fontId="49" fillId="22" borderId="10" xfId="0" applyFont="1" applyFill="1" applyBorder="1" applyAlignment="1">
      <alignment vertical="top" wrapText="1" shrinkToFit="1"/>
    </xf>
    <xf numFmtId="0" fontId="74" fillId="0" borderId="10" xfId="0" applyFont="1" applyBorder="1" applyAlignment="1">
      <alignment horizontal="center" vertical="center" wrapText="1"/>
    </xf>
    <xf numFmtId="0" fontId="74" fillId="11" borderId="10" xfId="0" applyFont="1" applyFill="1" applyBorder="1" applyAlignment="1">
      <alignment horizontal="center" vertical="center" wrapText="1"/>
    </xf>
    <xf numFmtId="0" fontId="74" fillId="25" borderId="10"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15" fillId="17" borderId="10" xfId="0"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0" fontId="15" fillId="0" borderId="10" xfId="0" applyFont="1" applyBorder="1" applyAlignment="1">
      <alignment vertical="center"/>
    </xf>
    <xf numFmtId="0" fontId="15" fillId="0" borderId="10" xfId="0" applyFont="1" applyBorder="1" applyAlignment="1">
      <alignment horizontal="center" vertical="center" wrapText="1"/>
    </xf>
    <xf numFmtId="0" fontId="15" fillId="11" borderId="10" xfId="0" applyFont="1" applyFill="1" applyBorder="1" applyAlignment="1">
      <alignment horizontal="center" vertical="center" wrapText="1"/>
    </xf>
    <xf numFmtId="0" fontId="15" fillId="25"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2" fontId="74" fillId="25" borderId="10" xfId="0" applyNumberFormat="1" applyFont="1" applyFill="1" applyBorder="1" applyAlignment="1">
      <alignment horizontal="center" vertical="center" wrapText="1"/>
    </xf>
    <xf numFmtId="0" fontId="53" fillId="11" borderId="10" xfId="0" applyFont="1" applyFill="1" applyBorder="1" applyAlignment="1">
      <alignment horizontal="center" vertical="center" wrapText="1"/>
    </xf>
    <xf numFmtId="2" fontId="74" fillId="0" borderId="10" xfId="0" applyNumberFormat="1" applyFont="1" applyFill="1" applyBorder="1" applyAlignment="1">
      <alignment horizontal="center" vertical="center" wrapText="1"/>
    </xf>
    <xf numFmtId="2" fontId="74" fillId="11" borderId="10" xfId="0" applyNumberFormat="1" applyFont="1" applyFill="1" applyBorder="1" applyAlignment="1">
      <alignment horizontal="center" vertical="center" wrapText="1"/>
    </xf>
    <xf numFmtId="2" fontId="15" fillId="11" borderId="10" xfId="0" applyNumberFormat="1" applyFont="1" applyFill="1" applyBorder="1" applyAlignment="1">
      <alignment horizontal="center" vertical="center" wrapText="1"/>
    </xf>
    <xf numFmtId="2" fontId="53" fillId="17" borderId="10" xfId="0" applyNumberFormat="1" applyFont="1" applyFill="1" applyBorder="1" applyAlignment="1">
      <alignment horizontal="center" vertical="center" wrapText="1"/>
    </xf>
    <xf numFmtId="0" fontId="53" fillId="0" borderId="10" xfId="0" applyFont="1" applyBorder="1" applyAlignment="1">
      <alignment horizontal="center" vertical="center" wrapText="1"/>
    </xf>
    <xf numFmtId="2" fontId="53" fillId="0" borderId="10" xfId="0" applyNumberFormat="1" applyFont="1" applyBorder="1" applyAlignment="1">
      <alignment horizontal="center" vertical="center" wrapText="1"/>
    </xf>
    <xf numFmtId="2" fontId="74" fillId="0" borderId="10" xfId="0" applyNumberFormat="1" applyFont="1" applyBorder="1" applyAlignment="1">
      <alignment horizontal="center" vertical="center" wrapText="1"/>
    </xf>
    <xf numFmtId="0" fontId="15" fillId="11" borderId="10" xfId="0" applyFont="1" applyFill="1" applyBorder="1" applyAlignment="1">
      <alignment horizontal="center" vertical="center" wrapText="1"/>
    </xf>
    <xf numFmtId="2" fontId="15" fillId="0" borderId="10" xfId="0" applyNumberFormat="1" applyFont="1" applyBorder="1" applyAlignment="1">
      <alignment horizontal="center" vertical="center" wrapText="1"/>
    </xf>
    <xf numFmtId="2" fontId="15" fillId="17" borderId="10" xfId="0" applyNumberFormat="1" applyFont="1" applyFill="1" applyBorder="1" applyAlignment="1">
      <alignment horizontal="center" vertical="center" wrapText="1"/>
    </xf>
    <xf numFmtId="2" fontId="15" fillId="17" borderId="10" xfId="0" applyNumberFormat="1" applyFont="1" applyFill="1" applyBorder="1" applyAlignment="1" quotePrefix="1">
      <alignment horizontal="center" vertical="center" wrapText="1"/>
    </xf>
    <xf numFmtId="193" fontId="15" fillId="17" borderId="10" xfId="0" applyNumberFormat="1" applyFont="1" applyFill="1" applyBorder="1" applyAlignment="1">
      <alignment horizontal="center" vertical="center" wrapText="1"/>
    </xf>
    <xf numFmtId="0" fontId="53" fillId="17" borderId="10" xfId="0" applyFont="1" applyFill="1" applyBorder="1" applyAlignment="1">
      <alignment horizontal="center" vertical="center" wrapText="1"/>
    </xf>
    <xf numFmtId="2" fontId="15" fillId="17" borderId="10" xfId="0" applyNumberFormat="1" applyFont="1" applyFill="1" applyBorder="1" applyAlignment="1">
      <alignment horizontal="center" vertical="center"/>
    </xf>
    <xf numFmtId="2" fontId="15" fillId="17" borderId="31" xfId="0" applyNumberFormat="1" applyFont="1" applyFill="1" applyBorder="1" applyAlignment="1">
      <alignment horizontal="center" vertical="center"/>
    </xf>
    <xf numFmtId="2" fontId="53" fillId="17" borderId="10" xfId="0" applyNumberFormat="1" applyFont="1" applyFill="1" applyBorder="1" applyAlignment="1">
      <alignment horizontal="center" vertical="center"/>
    </xf>
    <xf numFmtId="0" fontId="15" fillId="17" borderId="10" xfId="0" applyFont="1" applyFill="1" applyBorder="1" applyAlignment="1">
      <alignment horizontal="center" vertical="center"/>
    </xf>
    <xf numFmtId="2" fontId="74" fillId="17" borderId="10" xfId="0" applyNumberFormat="1" applyFont="1" applyFill="1" applyBorder="1" applyAlignment="1">
      <alignment horizontal="center" vertical="center" wrapText="1"/>
    </xf>
    <xf numFmtId="0" fontId="53" fillId="17" borderId="41" xfId="0" applyFont="1" applyFill="1" applyBorder="1" applyAlignment="1" quotePrefix="1">
      <alignment horizontal="center" vertical="center" wrapText="1"/>
    </xf>
    <xf numFmtId="4" fontId="53" fillId="17" borderId="10" xfId="0" applyNumberFormat="1" applyFont="1" applyFill="1" applyBorder="1" applyAlignment="1">
      <alignment horizontal="center" vertical="center" wrapText="1"/>
    </xf>
    <xf numFmtId="0" fontId="0" fillId="7" borderId="10" xfId="0" applyFont="1" applyFill="1" applyBorder="1" applyAlignment="1">
      <alignment vertical="top" wrapText="1" shrinkToFit="1"/>
    </xf>
    <xf numFmtId="0" fontId="49" fillId="7" borderId="10" xfId="0" applyFont="1" applyFill="1" applyBorder="1" applyAlignment="1">
      <alignment vertical="top" wrapText="1" shrinkToFit="1"/>
    </xf>
    <xf numFmtId="0" fontId="0" fillId="7" borderId="10" xfId="0" applyFont="1" applyFill="1" applyBorder="1" applyAlignment="1">
      <alignment vertical="top" wrapText="1"/>
    </xf>
    <xf numFmtId="0" fontId="49" fillId="7" borderId="10" xfId="0" applyFont="1" applyFill="1" applyBorder="1" applyAlignment="1">
      <alignment vertical="top" wrapText="1"/>
    </xf>
    <xf numFmtId="0" fontId="0" fillId="8" borderId="10" xfId="0" applyFont="1" applyFill="1" applyBorder="1" applyAlignment="1">
      <alignment vertical="top" wrapText="1" shrinkToFit="1"/>
    </xf>
    <xf numFmtId="0" fontId="49" fillId="8" borderId="10" xfId="0" applyFont="1" applyFill="1" applyBorder="1" applyAlignment="1">
      <alignment vertical="top" wrapText="1" shrinkToFit="1"/>
    </xf>
    <xf numFmtId="0" fontId="49" fillId="8" borderId="10" xfId="0" applyFont="1" applyFill="1" applyBorder="1" applyAlignment="1">
      <alignment horizontal="left" vertical="top" wrapText="1" shrinkToFit="1"/>
    </xf>
    <xf numFmtId="0" fontId="49" fillId="8" borderId="10" xfId="0" applyFont="1" applyFill="1" applyBorder="1" applyAlignment="1">
      <alignment vertical="top" wrapText="1"/>
    </xf>
    <xf numFmtId="0" fontId="0" fillId="8" borderId="10" xfId="0" applyFont="1" applyFill="1" applyBorder="1" applyAlignment="1">
      <alignment vertical="top" wrapText="1"/>
    </xf>
    <xf numFmtId="0" fontId="49" fillId="8" borderId="31" xfId="0" applyFont="1" applyFill="1" applyBorder="1" applyAlignment="1">
      <alignment vertical="top" wrapText="1"/>
    </xf>
    <xf numFmtId="0" fontId="0" fillId="8" borderId="41" xfId="0" applyFont="1" applyFill="1" applyBorder="1" applyAlignment="1">
      <alignment vertical="top" wrapText="1"/>
    </xf>
    <xf numFmtId="0" fontId="0" fillId="8" borderId="10" xfId="0" applyFont="1" applyFill="1" applyBorder="1" applyAlignment="1">
      <alignment horizontal="left" vertical="top" wrapText="1"/>
    </xf>
    <xf numFmtId="0" fontId="49" fillId="8" borderId="40" xfId="0" applyFont="1" applyFill="1" applyBorder="1" applyAlignment="1">
      <alignment vertical="top" wrapText="1"/>
    </xf>
    <xf numFmtId="0" fontId="49" fillId="8" borderId="10" xfId="0" applyFont="1" applyFill="1" applyBorder="1" applyAlignment="1">
      <alignment vertical="top" wrapText="1" shrinkToFit="1"/>
    </xf>
    <xf numFmtId="0" fontId="65" fillId="17" borderId="10" xfId="0" applyFill="1" applyBorder="1" applyAlignment="1">
      <alignment horizontal="center" vertical="center" wrapText="1"/>
    </xf>
    <xf numFmtId="2" fontId="52" fillId="0" borderId="10" xfId="0" applyNumberFormat="1" applyFont="1" applyFill="1" applyBorder="1" applyAlignment="1">
      <alignment horizontal="center" vertical="center" wrapText="1"/>
    </xf>
    <xf numFmtId="0" fontId="0" fillId="17" borderId="10" xfId="0" applyFont="1" applyFill="1" applyBorder="1" applyAlignment="1">
      <alignment horizontal="center" vertical="center"/>
    </xf>
    <xf numFmtId="2" fontId="15" fillId="0" borderId="10" xfId="0" applyNumberFormat="1" applyFont="1" applyFill="1" applyBorder="1" applyAlignment="1">
      <alignment horizontal="center" vertical="center"/>
    </xf>
    <xf numFmtId="3" fontId="49"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shrinkToFit="1"/>
    </xf>
    <xf numFmtId="0" fontId="49" fillId="0" borderId="10" xfId="0" applyFont="1" applyFill="1" applyBorder="1" applyAlignment="1">
      <alignment horizontal="center" vertical="center" wrapText="1" shrinkToFit="1"/>
    </xf>
    <xf numFmtId="0" fontId="49" fillId="0" borderId="10" xfId="0" applyFont="1" applyFill="1" applyBorder="1" applyAlignment="1">
      <alignment horizontal="center" vertical="center" wrapText="1"/>
    </xf>
    <xf numFmtId="0" fontId="49" fillId="0" borderId="31" xfId="0" applyFont="1" applyFill="1" applyBorder="1" applyAlignment="1">
      <alignment horizontal="center" vertical="center" wrapText="1"/>
    </xf>
    <xf numFmtId="0" fontId="0" fillId="0" borderId="66" xfId="0" applyFont="1" applyFill="1" applyBorder="1" applyAlignment="1">
      <alignment horizontal="center" vertical="center" wrapText="1" shrinkToFit="1"/>
    </xf>
    <xf numFmtId="0" fontId="49" fillId="0" borderId="66" xfId="0" applyFont="1" applyFill="1" applyBorder="1" applyAlignment="1">
      <alignment horizontal="center" vertical="center" wrapText="1" shrinkToFit="1"/>
    </xf>
    <xf numFmtId="0" fontId="75" fillId="20" borderId="10" xfId="0" applyFont="1" applyFill="1" applyBorder="1" applyAlignment="1">
      <alignment horizontal="center" vertical="top" wrapText="1"/>
    </xf>
    <xf numFmtId="2" fontId="75" fillId="20" borderId="10" xfId="0" applyNumberFormat="1" applyFont="1" applyFill="1" applyBorder="1" applyAlignment="1">
      <alignment horizontal="center" vertical="top" wrapText="1"/>
    </xf>
    <xf numFmtId="4" fontId="75" fillId="0" borderId="10" xfId="0" applyNumberFormat="1" applyFont="1" applyFill="1" applyBorder="1" applyAlignment="1">
      <alignment horizontal="center" vertical="center" wrapText="1"/>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3" fontId="4" fillId="7" borderId="10" xfId="0" applyNumberFormat="1" applyFont="1" applyFill="1" applyBorder="1" applyAlignment="1">
      <alignment horizontal="right" vertical="center"/>
    </xf>
    <xf numFmtId="3" fontId="5" fillId="14" borderId="10" xfId="0" applyNumberFormat="1" applyFont="1" applyFill="1" applyBorder="1" applyAlignment="1">
      <alignment horizontal="right" vertical="center"/>
    </xf>
    <xf numFmtId="0" fontId="4" fillId="7"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5" fillId="14" borderId="10" xfId="0" applyFont="1" applyFill="1" applyBorder="1" applyAlignment="1">
      <alignment horizontal="center"/>
    </xf>
    <xf numFmtId="0" fontId="7" fillId="7" borderId="10" xfId="0" applyFont="1" applyFill="1" applyBorder="1" applyAlignment="1">
      <alignment horizontal="left" vertical="top" wrapText="1"/>
    </xf>
    <xf numFmtId="0" fontId="5" fillId="4" borderId="16" xfId="0" applyFont="1" applyFill="1" applyBorder="1" applyAlignment="1">
      <alignment horizontal="center" vertical="center"/>
    </xf>
    <xf numFmtId="3" fontId="0" fillId="0" borderId="35" xfId="0" applyNumberFormat="1" applyFont="1" applyFill="1" applyBorder="1" applyAlignment="1">
      <alignment vertical="center" wrapText="1"/>
    </xf>
    <xf numFmtId="3" fontId="0" fillId="0" borderId="35" xfId="0" applyNumberFormat="1" applyFont="1" applyFill="1" applyBorder="1" applyAlignment="1">
      <alignment horizontal="right" vertical="center" wrapText="1"/>
    </xf>
    <xf numFmtId="172" fontId="0" fillId="7" borderId="23" xfId="42" applyNumberFormat="1" applyFont="1" applyFill="1" applyBorder="1" applyAlignment="1">
      <alignment horizontal="right" vertical="center" wrapText="1"/>
    </xf>
    <xf numFmtId="172" fontId="0" fillId="8" borderId="10" xfId="42" applyNumberFormat="1" applyFont="1" applyFill="1" applyBorder="1" applyAlignment="1">
      <alignment horizontal="right" vertical="center" wrapText="1"/>
    </xf>
    <xf numFmtId="172" fontId="0" fillId="22" borderId="10" xfId="42" applyNumberFormat="1" applyFont="1" applyFill="1" applyBorder="1" applyAlignment="1">
      <alignment horizontal="right" vertical="center" wrapText="1"/>
    </xf>
    <xf numFmtId="172" fontId="0" fillId="7" borderId="23" xfId="42" applyNumberFormat="1" applyFont="1" applyFill="1" applyBorder="1" applyAlignment="1">
      <alignment horizontal="right" vertical="center" wrapText="1"/>
    </xf>
    <xf numFmtId="172" fontId="0" fillId="8" borderId="10" xfId="42" applyNumberFormat="1" applyFont="1" applyFill="1" applyBorder="1" applyAlignment="1">
      <alignment horizontal="right" vertical="center" wrapText="1"/>
    </xf>
    <xf numFmtId="172" fontId="0" fillId="22" borderId="10" xfId="42" applyNumberFormat="1" applyFont="1" applyFill="1" applyBorder="1" applyAlignment="1">
      <alignment horizontal="right" vertical="center" wrapText="1"/>
    </xf>
    <xf numFmtId="0" fontId="4" fillId="7" borderId="27" xfId="0" applyFont="1" applyFill="1" applyBorder="1" applyAlignment="1">
      <alignment horizontal="center" vertical="center"/>
    </xf>
    <xf numFmtId="0" fontId="4" fillId="8" borderId="11" xfId="0" applyFont="1" applyFill="1" applyBorder="1" applyAlignment="1">
      <alignment horizontal="center" vertical="center"/>
    </xf>
    <xf numFmtId="0" fontId="4" fillId="22" borderId="11" xfId="0" applyFont="1" applyFill="1" applyBorder="1" applyAlignment="1">
      <alignment horizontal="center" vertical="center"/>
    </xf>
    <xf numFmtId="0" fontId="4" fillId="7" borderId="27" xfId="0" applyFont="1" applyFill="1" applyBorder="1" applyAlignment="1">
      <alignment horizontal="center" vertical="top" wrapText="1"/>
    </xf>
    <xf numFmtId="0" fontId="4" fillId="8" borderId="11" xfId="0" applyFont="1" applyFill="1" applyBorder="1" applyAlignment="1">
      <alignment horizontal="center" vertical="top" wrapText="1"/>
    </xf>
    <xf numFmtId="0" fontId="4" fillId="22" borderId="11" xfId="0" applyFont="1" applyFill="1" applyBorder="1" applyAlignment="1">
      <alignment horizontal="center" vertical="top" wrapText="1"/>
    </xf>
    <xf numFmtId="0" fontId="0" fillId="0" borderId="10" xfId="0"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xf>
    <xf numFmtId="3" fontId="0" fillId="0" borderId="10" xfId="0" applyNumberFormat="1" applyBorder="1" applyAlignment="1">
      <alignment/>
    </xf>
    <xf numFmtId="4" fontId="73" fillId="0" borderId="10" xfId="0" applyNumberFormat="1"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xf>
    <xf numFmtId="0" fontId="0" fillId="0" borderId="68" xfId="0" applyBorder="1" applyAlignment="1">
      <alignment vertical="center"/>
    </xf>
    <xf numFmtId="0" fontId="0" fillId="0" borderId="72" xfId="0" applyBorder="1" applyAlignment="1">
      <alignment vertical="center"/>
    </xf>
    <xf numFmtId="0" fontId="0" fillId="0" borderId="67"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2" fillId="0" borderId="23" xfId="0" applyFont="1" applyFill="1" applyBorder="1" applyAlignment="1">
      <alignment horizontal="center"/>
    </xf>
    <xf numFmtId="0" fontId="2" fillId="0" borderId="28" xfId="0" applyFont="1" applyFill="1" applyBorder="1" applyAlignment="1">
      <alignment horizontal="center"/>
    </xf>
    <xf numFmtId="0" fontId="6" fillId="10" borderId="0" xfId="0" applyFont="1" applyFill="1" applyAlignment="1">
      <alignment horizontal="center" vertical="center"/>
    </xf>
    <xf numFmtId="0" fontId="0" fillId="0" borderId="0" xfId="0" applyAlignment="1">
      <alignment vertical="center"/>
    </xf>
    <xf numFmtId="0" fontId="5" fillId="0" borderId="0" xfId="0" applyFont="1" applyAlignment="1">
      <alignment horizontal="right" vertical="center"/>
    </xf>
    <xf numFmtId="0" fontId="2" fillId="22" borderId="10" xfId="0" applyFont="1" applyFill="1" applyBorder="1" applyAlignment="1">
      <alignment horizontal="center" wrapText="1"/>
    </xf>
    <xf numFmtId="0" fontId="2" fillId="0" borderId="31"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5" fillId="0" borderId="71"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2" fillId="0" borderId="37"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74" xfId="0" applyFont="1" applyBorder="1" applyAlignment="1">
      <alignment horizontal="center" vertical="center" wrapText="1"/>
    </xf>
    <xf numFmtId="0" fontId="6" fillId="0" borderId="0" xfId="0" applyFont="1" applyAlignment="1">
      <alignment horizontal="center" vertical="center" wrapText="1"/>
    </xf>
    <xf numFmtId="0" fontId="2" fillId="7" borderId="23" xfId="0" applyFont="1" applyFill="1" applyBorder="1" applyAlignment="1">
      <alignment horizontal="center"/>
    </xf>
    <xf numFmtId="0" fontId="2" fillId="7" borderId="28" xfId="0" applyFont="1" applyFill="1" applyBorder="1" applyAlignment="1">
      <alignment horizontal="center"/>
    </xf>
    <xf numFmtId="0" fontId="5" fillId="0" borderId="75" xfId="0" applyFont="1" applyBorder="1" applyAlignment="1">
      <alignment horizontal="center"/>
    </xf>
    <xf numFmtId="0" fontId="2" fillId="7" borderId="76" xfId="0" applyFont="1" applyFill="1" applyBorder="1" applyAlignment="1">
      <alignment horizontal="center" vertical="center" wrapText="1"/>
    </xf>
    <xf numFmtId="0" fontId="2" fillId="7" borderId="77" xfId="0" applyFont="1" applyFill="1" applyBorder="1" applyAlignment="1">
      <alignment horizontal="center" vertical="center" wrapText="1"/>
    </xf>
    <xf numFmtId="0" fontId="2" fillId="7" borderId="23" xfId="0" applyFont="1" applyFill="1" applyBorder="1" applyAlignment="1">
      <alignment horizontal="center" vertical="center" wrapText="1" shrinkToFit="1"/>
    </xf>
    <xf numFmtId="0" fontId="2" fillId="7" borderId="10" xfId="0" applyFont="1" applyFill="1" applyBorder="1" applyAlignment="1">
      <alignment horizontal="center" vertical="center" wrapText="1" shrinkToFi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8" borderId="23" xfId="0" applyFont="1" applyFill="1" applyBorder="1" applyAlignment="1">
      <alignment horizontal="center"/>
    </xf>
    <xf numFmtId="0" fontId="2" fillId="7" borderId="27" xfId="0" applyFont="1" applyFill="1" applyBorder="1" applyAlignment="1">
      <alignment horizontal="center" vertical="center"/>
    </xf>
    <xf numFmtId="0" fontId="2" fillId="7" borderId="11" xfId="0" applyFont="1" applyFill="1" applyBorder="1" applyAlignment="1">
      <alignment horizontal="center" vertical="center"/>
    </xf>
    <xf numFmtId="0" fontId="2" fillId="8" borderId="23" xfId="0" applyFont="1" applyFill="1" applyBorder="1" applyAlignment="1">
      <alignment horizontal="center" vertical="center"/>
    </xf>
    <xf numFmtId="0" fontId="2" fillId="8" borderId="10" xfId="0" applyFont="1" applyFill="1" applyBorder="1" applyAlignment="1">
      <alignment horizontal="center" vertical="center"/>
    </xf>
    <xf numFmtId="0" fontId="2" fillId="8" borderId="23" xfId="0" applyFont="1" applyFill="1" applyBorder="1" applyAlignment="1">
      <alignment horizontal="center" vertical="center" wrapText="1" shrinkToFit="1"/>
    </xf>
    <xf numFmtId="0" fontId="2" fillId="8" borderId="10" xfId="0" applyFont="1" applyFill="1" applyBorder="1" applyAlignment="1">
      <alignment horizontal="center" vertical="center" wrapText="1" shrinkToFit="1"/>
    </xf>
    <xf numFmtId="0" fontId="2" fillId="8" borderId="10" xfId="0" applyFont="1" applyFill="1" applyBorder="1" applyAlignment="1">
      <alignment horizontal="center" wrapText="1"/>
    </xf>
    <xf numFmtId="0" fontId="2" fillId="22" borderId="12" xfId="0" applyFont="1" applyFill="1" applyBorder="1" applyAlignment="1">
      <alignment horizontal="center" wrapText="1"/>
    </xf>
    <xf numFmtId="0" fontId="2" fillId="8" borderId="78" xfId="0" applyFont="1" applyFill="1" applyBorder="1" applyAlignment="1">
      <alignment horizontal="center"/>
    </xf>
    <xf numFmtId="0" fontId="2" fillId="22" borderId="23" xfId="0" applyFont="1" applyFill="1" applyBorder="1" applyAlignment="1">
      <alignment horizontal="center"/>
    </xf>
    <xf numFmtId="0" fontId="2" fillId="8" borderId="40" xfId="0" applyFont="1" applyFill="1" applyBorder="1" applyAlignment="1">
      <alignment horizontal="center" wrapText="1"/>
    </xf>
    <xf numFmtId="0" fontId="2" fillId="22" borderId="28" xfId="0" applyFont="1" applyFill="1" applyBorder="1" applyAlignment="1">
      <alignment horizontal="center"/>
    </xf>
    <xf numFmtId="0" fontId="2" fillId="22" borderId="23" xfId="0" applyFont="1" applyFill="1" applyBorder="1" applyAlignment="1">
      <alignment horizontal="center" vertical="center" wrapText="1" shrinkToFit="1"/>
    </xf>
    <xf numFmtId="0" fontId="2" fillId="22" borderId="10" xfId="0" applyFont="1" applyFill="1" applyBorder="1" applyAlignment="1">
      <alignment horizontal="center" vertical="center" wrapText="1" shrinkToFi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23" xfId="0" applyFont="1" applyFill="1" applyBorder="1" applyAlignment="1">
      <alignment horizontal="center"/>
    </xf>
    <xf numFmtId="0" fontId="2" fillId="0" borderId="79"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80" xfId="0" applyFont="1" applyFill="1" applyBorder="1" applyAlignment="1">
      <alignment horizontal="center" vertical="center" wrapText="1" shrinkToFit="1"/>
    </xf>
    <xf numFmtId="0" fontId="2" fillId="0" borderId="81"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22" borderId="27" xfId="0" applyFont="1" applyFill="1" applyBorder="1" applyAlignment="1">
      <alignment horizontal="center" vertical="center"/>
    </xf>
    <xf numFmtId="0" fontId="2" fillId="22" borderId="11" xfId="0" applyFont="1" applyFill="1" applyBorder="1" applyAlignment="1">
      <alignment horizontal="center" vertical="center"/>
    </xf>
    <xf numFmtId="0" fontId="2" fillId="4" borderId="28" xfId="0" applyFont="1" applyFill="1" applyBorder="1" applyAlignment="1">
      <alignment horizontal="center"/>
    </xf>
    <xf numFmtId="0" fontId="2" fillId="4" borderId="76" xfId="0" applyFont="1" applyFill="1" applyBorder="1" applyAlignment="1">
      <alignment horizontal="center" vertical="center" wrapText="1"/>
    </xf>
    <xf numFmtId="0" fontId="2" fillId="4" borderId="77" xfId="0" applyFont="1" applyFill="1" applyBorder="1" applyAlignment="1">
      <alignment horizontal="center" vertical="center" wrapText="1"/>
    </xf>
    <xf numFmtId="0" fontId="2" fillId="4" borderId="27"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80" xfId="0" applyFont="1" applyFill="1" applyBorder="1" applyAlignment="1">
      <alignment horizontal="center" vertical="center" wrapText="1" shrinkToFit="1"/>
    </xf>
    <xf numFmtId="0" fontId="2" fillId="4" borderId="81" xfId="0" applyFont="1" applyFill="1" applyBorder="1" applyAlignment="1">
      <alignment horizontal="center" vertical="center" wrapText="1" shrinkToFit="1"/>
    </xf>
    <xf numFmtId="0" fontId="2" fillId="4" borderId="14" xfId="0" applyFont="1" applyFill="1" applyBorder="1" applyAlignment="1">
      <alignment horizontal="center" vertical="center" wrapText="1" shrinkToFit="1"/>
    </xf>
    <xf numFmtId="0" fontId="4" fillId="0" borderId="49" xfId="0" applyFont="1" applyBorder="1" applyAlignment="1">
      <alignment/>
    </xf>
    <xf numFmtId="0" fontId="0" fillId="0" borderId="82" xfId="0" applyBorder="1" applyAlignment="1">
      <alignment/>
    </xf>
    <xf numFmtId="0" fontId="0" fillId="0" borderId="83" xfId="0" applyBorder="1" applyAlignment="1">
      <alignment/>
    </xf>
    <xf numFmtId="0" fontId="2" fillId="8" borderId="79" xfId="0" applyFont="1" applyFill="1" applyBorder="1" applyAlignment="1">
      <alignment horizontal="center" vertical="center"/>
    </xf>
    <xf numFmtId="0" fontId="2" fillId="8" borderId="58" xfId="0" applyFont="1" applyFill="1" applyBorder="1" applyAlignment="1">
      <alignment horizontal="center" vertical="center"/>
    </xf>
    <xf numFmtId="0" fontId="2" fillId="8" borderId="47" xfId="0" applyFont="1" applyFill="1" applyBorder="1" applyAlignment="1">
      <alignment horizontal="center" vertical="center"/>
    </xf>
    <xf numFmtId="0" fontId="2" fillId="8" borderId="84" xfId="0" applyFont="1" applyFill="1" applyBorder="1" applyAlignment="1">
      <alignment horizontal="center" vertical="center" wrapText="1" shrinkToFit="1"/>
    </xf>
    <xf numFmtId="0" fontId="2" fillId="8" borderId="30" xfId="0" applyFont="1" applyFill="1" applyBorder="1" applyAlignment="1">
      <alignment horizontal="center" vertical="center" wrapText="1" shrinkToFit="1"/>
    </xf>
    <xf numFmtId="0" fontId="2" fillId="8" borderId="41" xfId="0" applyFont="1" applyFill="1" applyBorder="1" applyAlignment="1">
      <alignment horizontal="center" vertical="center" wrapText="1" shrinkToFit="1"/>
    </xf>
    <xf numFmtId="0" fontId="2" fillId="8" borderId="85" xfId="0" applyFont="1" applyFill="1" applyBorder="1" applyAlignment="1">
      <alignment horizontal="center"/>
    </xf>
    <xf numFmtId="0" fontId="2" fillId="8" borderId="31" xfId="0" applyFont="1" applyFill="1" applyBorder="1" applyAlignment="1">
      <alignment horizontal="center" vertical="center"/>
    </xf>
    <xf numFmtId="0" fontId="2" fillId="8" borderId="41" xfId="0" applyFont="1" applyFill="1" applyBorder="1" applyAlignment="1">
      <alignment horizontal="center" vertical="center"/>
    </xf>
    <xf numFmtId="0" fontId="2" fillId="8" borderId="31" xfId="0" applyFont="1" applyFill="1" applyBorder="1" applyAlignment="1">
      <alignment horizontal="center" vertical="center" wrapText="1"/>
    </xf>
    <xf numFmtId="0" fontId="2" fillId="8" borderId="41" xfId="0" applyFont="1" applyFill="1" applyBorder="1" applyAlignment="1">
      <alignment horizontal="center" vertical="center" wrapText="1"/>
    </xf>
    <xf numFmtId="0" fontId="2" fillId="0" borderId="86" xfId="0" applyFont="1" applyBorder="1" applyAlignment="1">
      <alignment horizontal="left" vertical="center" wrapText="1"/>
    </xf>
    <xf numFmtId="0" fontId="2" fillId="0" borderId="36" xfId="0" applyFont="1" applyBorder="1" applyAlignment="1">
      <alignment horizontal="left" vertical="center" wrapText="1"/>
    </xf>
    <xf numFmtId="0" fontId="2" fillId="0" borderId="63" xfId="0" applyFont="1" applyBorder="1" applyAlignment="1">
      <alignment horizontal="left" vertical="center" wrapText="1"/>
    </xf>
    <xf numFmtId="0" fontId="2" fillId="8" borderId="33" xfId="0" applyFont="1" applyFill="1" applyBorder="1" applyAlignment="1">
      <alignment horizontal="center" vertical="center" wrapText="1"/>
    </xf>
    <xf numFmtId="0" fontId="2" fillId="8" borderId="48" xfId="0" applyFont="1" applyFill="1" applyBorder="1" applyAlignment="1">
      <alignment horizontal="center" vertical="center" wrapText="1"/>
    </xf>
    <xf numFmtId="0" fontId="16" fillId="0" borderId="87" xfId="0" applyFont="1" applyBorder="1" applyAlignment="1">
      <alignment vertical="center"/>
    </xf>
    <xf numFmtId="0" fontId="16" fillId="0" borderId="88" xfId="0" applyFont="1" applyBorder="1" applyAlignment="1">
      <alignment vertical="center"/>
    </xf>
    <xf numFmtId="0" fontId="2" fillId="4" borderId="10" xfId="0" applyFont="1" applyFill="1" applyBorder="1" applyAlignment="1">
      <alignment horizontal="center" wrapText="1"/>
    </xf>
    <xf numFmtId="0" fontId="2" fillId="4" borderId="40" xfId="0" applyFont="1" applyFill="1" applyBorder="1" applyAlignment="1">
      <alignment horizontal="center" wrapText="1"/>
    </xf>
    <xf numFmtId="0" fontId="2" fillId="0" borderId="0" xfId="0" applyFont="1" applyAlignment="1">
      <alignment horizontal="right" vertical="center"/>
    </xf>
    <xf numFmtId="0" fontId="0" fillId="0" borderId="15" xfId="0" applyFill="1" applyBorder="1" applyAlignment="1">
      <alignment horizontal="center" vertical="center" wrapText="1"/>
    </xf>
    <xf numFmtId="0" fontId="0" fillId="0" borderId="15" xfId="0" applyBorder="1" applyAlignment="1">
      <alignment horizontal="center" vertical="center" wrapText="1"/>
    </xf>
    <xf numFmtId="0" fontId="5" fillId="0" borderId="86" xfId="0" applyFont="1" applyBorder="1" applyAlignment="1">
      <alignment horizontal="left" vertical="center" wrapText="1"/>
    </xf>
    <xf numFmtId="0" fontId="5" fillId="0" borderId="36" xfId="0" applyFont="1" applyBorder="1" applyAlignment="1">
      <alignment horizontal="left" vertical="center" wrapText="1"/>
    </xf>
    <xf numFmtId="0" fontId="5" fillId="0" borderId="63" xfId="0" applyFont="1" applyBorder="1" applyAlignment="1">
      <alignment horizontal="left" vertical="center" wrapText="1"/>
    </xf>
    <xf numFmtId="0" fontId="2" fillId="7" borderId="78" xfId="0" applyFont="1" applyFill="1" applyBorder="1" applyAlignment="1">
      <alignment horizontal="center"/>
    </xf>
    <xf numFmtId="0" fontId="2" fillId="22" borderId="89" xfId="0" applyFont="1" applyFill="1" applyBorder="1" applyAlignment="1">
      <alignment horizontal="center" vertical="justify"/>
    </xf>
    <xf numFmtId="0" fontId="2" fillId="22" borderId="65" xfId="0" applyFont="1" applyFill="1" applyBorder="1" applyAlignment="1">
      <alignment horizontal="center" vertical="justify"/>
    </xf>
    <xf numFmtId="4" fontId="16" fillId="22" borderId="80" xfId="0" applyNumberFormat="1" applyFont="1" applyFill="1" applyBorder="1" applyAlignment="1">
      <alignment horizontal="center" vertical="center" wrapText="1"/>
    </xf>
    <xf numFmtId="4" fontId="16" fillId="22" borderId="14" xfId="0" applyNumberFormat="1" applyFont="1" applyFill="1" applyBorder="1" applyAlignment="1">
      <alignment horizontal="center" vertical="center" wrapText="1"/>
    </xf>
    <xf numFmtId="0" fontId="2" fillId="22" borderId="90" xfId="0" applyFont="1" applyFill="1" applyBorder="1" applyAlignment="1">
      <alignment horizontal="center"/>
    </xf>
    <xf numFmtId="0" fontId="2" fillId="22" borderId="91" xfId="0" applyFont="1" applyFill="1" applyBorder="1" applyAlignment="1">
      <alignment horizontal="center"/>
    </xf>
    <xf numFmtId="0" fontId="2" fillId="22" borderId="92" xfId="0" applyFont="1" applyFill="1" applyBorder="1" applyAlignment="1">
      <alignment horizontal="center"/>
    </xf>
    <xf numFmtId="0" fontId="2" fillId="8" borderId="93" xfId="0" applyFont="1" applyFill="1" applyBorder="1" applyAlignment="1">
      <alignment horizontal="center"/>
    </xf>
    <xf numFmtId="0" fontId="2" fillId="7" borderId="13"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10" xfId="0" applyFont="1" applyFill="1" applyBorder="1" applyAlignment="1">
      <alignment horizontal="center" vertical="center" wrapText="1"/>
    </xf>
    <xf numFmtId="0" fontId="2" fillId="0" borderId="75" xfId="0" applyFont="1" applyBorder="1" applyAlignment="1">
      <alignment horizontal="center" wrapText="1"/>
    </xf>
    <xf numFmtId="0" fontId="2" fillId="4" borderId="27"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23"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23" xfId="0" applyFont="1" applyFill="1" applyBorder="1" applyAlignment="1">
      <alignment horizontal="center" vertical="center" wrapText="1" shrinkToFit="1"/>
    </xf>
    <xf numFmtId="0" fontId="2" fillId="4" borderId="10" xfId="0" applyFont="1" applyFill="1" applyBorder="1" applyAlignment="1">
      <alignment horizontal="center" vertical="center" wrapText="1" shrinkToFit="1"/>
    </xf>
    <xf numFmtId="0" fontId="2" fillId="4" borderId="78" xfId="0" applyFont="1" applyFill="1" applyBorder="1" applyAlignment="1">
      <alignment horizontal="center"/>
    </xf>
    <xf numFmtId="0" fontId="2" fillId="0" borderId="71" xfId="0" applyFont="1" applyBorder="1" applyAlignment="1">
      <alignment vertical="center" wrapText="1"/>
    </xf>
    <xf numFmtId="0" fontId="2" fillId="0" borderId="68" xfId="0" applyFont="1" applyBorder="1" applyAlignment="1">
      <alignment vertical="center" wrapText="1"/>
    </xf>
    <xf numFmtId="0" fontId="2" fillId="0" borderId="94" xfId="0" applyFont="1" applyBorder="1" applyAlignment="1">
      <alignment vertical="center" wrapText="1"/>
    </xf>
    <xf numFmtId="0" fontId="2" fillId="0" borderId="95" xfId="0" applyFont="1" applyBorder="1" applyAlignment="1">
      <alignment vertical="center" wrapText="1"/>
    </xf>
    <xf numFmtId="0" fontId="6" fillId="10" borderId="0" xfId="0" applyFont="1" applyFill="1" applyBorder="1" applyAlignment="1">
      <alignment horizontal="center" vertical="justify"/>
    </xf>
    <xf numFmtId="0" fontId="0" fillId="0" borderId="0" xfId="0" applyAlignment="1">
      <alignment/>
    </xf>
    <xf numFmtId="0" fontId="2" fillId="0" borderId="0" xfId="0" applyFont="1" applyBorder="1" applyAlignment="1">
      <alignment horizontal="right" vertical="justify"/>
    </xf>
    <xf numFmtId="0" fontId="15" fillId="0" borderId="49" xfId="0" applyFont="1" applyBorder="1" applyAlignment="1">
      <alignment/>
    </xf>
    <xf numFmtId="0" fontId="0" fillId="0" borderId="56" xfId="0" applyBorder="1" applyAlignment="1">
      <alignment/>
    </xf>
    <xf numFmtId="0" fontId="16" fillId="0" borderId="71" xfId="0" applyFont="1" applyBorder="1" applyAlignment="1">
      <alignment vertical="center" wrapText="1"/>
    </xf>
    <xf numFmtId="0" fontId="16" fillId="0" borderId="68" xfId="0" applyFont="1" applyBorder="1" applyAlignment="1">
      <alignment vertical="center" wrapText="1"/>
    </xf>
    <xf numFmtId="0" fontId="16" fillId="0" borderId="73" xfId="0" applyFont="1" applyBorder="1" applyAlignment="1">
      <alignment vertical="center" wrapText="1"/>
    </xf>
    <xf numFmtId="0" fontId="16" fillId="0" borderId="74" xfId="0" applyFont="1" applyBorder="1" applyAlignment="1">
      <alignment vertical="center" wrapText="1"/>
    </xf>
    <xf numFmtId="0" fontId="2" fillId="8" borderId="23"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6" fillId="0" borderId="0" xfId="0" applyFont="1" applyAlignment="1">
      <alignment horizontal="center" vertical="center" wrapText="1"/>
    </xf>
    <xf numFmtId="0" fontId="16" fillId="0" borderId="23" xfId="0" applyFont="1" applyBorder="1" applyAlignment="1">
      <alignment horizontal="center" vertical="center" wrapText="1"/>
    </xf>
    <xf numFmtId="0" fontId="16" fillId="0" borderId="10" xfId="0"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7" xfId="0" applyFont="1" applyBorder="1" applyAlignment="1">
      <alignment horizontal="center" vertical="justify"/>
    </xf>
    <xf numFmtId="0" fontId="2" fillId="0" borderId="11" xfId="0" applyFont="1" applyBorder="1" applyAlignment="1">
      <alignment horizontal="center" vertical="justify"/>
    </xf>
    <xf numFmtId="172" fontId="0" fillId="8" borderId="10" xfId="42" applyNumberFormat="1" applyFont="1" applyFill="1" applyBorder="1" applyAlignment="1">
      <alignment horizontal="right" vertical="center" wrapText="1"/>
    </xf>
    <xf numFmtId="0" fontId="2" fillId="22" borderId="79" xfId="0" applyFont="1" applyFill="1" applyBorder="1" applyAlignment="1">
      <alignment horizontal="center" vertical="justify"/>
    </xf>
    <xf numFmtId="0" fontId="2" fillId="22" borderId="47" xfId="0" applyFont="1" applyFill="1" applyBorder="1" applyAlignment="1">
      <alignment horizontal="center" vertical="justify"/>
    </xf>
    <xf numFmtId="4" fontId="16" fillId="22" borderId="23" xfId="0" applyNumberFormat="1" applyFont="1" applyFill="1" applyBorder="1" applyAlignment="1">
      <alignment horizontal="center" vertical="center" wrapText="1"/>
    </xf>
    <xf numFmtId="4" fontId="16" fillId="22" borderId="10" xfId="0" applyNumberFormat="1" applyFont="1" applyFill="1" applyBorder="1" applyAlignment="1">
      <alignment horizontal="center" vertical="center" wrapText="1"/>
    </xf>
    <xf numFmtId="0" fontId="2" fillId="0" borderId="96" xfId="0" applyFont="1" applyBorder="1" applyAlignment="1">
      <alignment horizontal="center"/>
    </xf>
    <xf numFmtId="0" fontId="2" fillId="7" borderId="23" xfId="0" applyFont="1" applyFill="1" applyBorder="1" applyAlignment="1">
      <alignment horizontal="center"/>
    </xf>
    <xf numFmtId="0" fontId="2" fillId="7" borderId="78" xfId="0" applyFont="1" applyFill="1" applyBorder="1" applyAlignment="1">
      <alignment horizontal="center"/>
    </xf>
    <xf numFmtId="0" fontId="2" fillId="7" borderId="79" xfId="0" applyFont="1" applyFill="1" applyBorder="1" applyAlignment="1">
      <alignment horizontal="center" vertical="justify"/>
    </xf>
    <xf numFmtId="0" fontId="2" fillId="7" borderId="58" xfId="0" applyFont="1" applyFill="1" applyBorder="1" applyAlignment="1">
      <alignment horizontal="center" vertical="justify"/>
    </xf>
    <xf numFmtId="0" fontId="2" fillId="7" borderId="47" xfId="0" applyFont="1" applyFill="1" applyBorder="1" applyAlignment="1">
      <alignment horizontal="center" vertical="justify"/>
    </xf>
    <xf numFmtId="0" fontId="2" fillId="7" borderId="84"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16" fillId="7" borderId="84" xfId="0" applyFont="1" applyFill="1" applyBorder="1" applyAlignment="1">
      <alignment horizontal="center" vertical="center" wrapText="1" shrinkToFit="1"/>
    </xf>
    <xf numFmtId="0" fontId="16" fillId="7" borderId="30" xfId="0" applyFont="1" applyFill="1" applyBorder="1" applyAlignment="1">
      <alignment horizontal="center" vertical="center" wrapText="1" shrinkToFit="1"/>
    </xf>
    <xf numFmtId="0" fontId="16" fillId="7" borderId="41" xfId="0" applyFont="1" applyFill="1" applyBorder="1" applyAlignment="1">
      <alignment horizontal="center" vertical="center" wrapText="1" shrinkToFit="1"/>
    </xf>
    <xf numFmtId="0" fontId="2" fillId="7" borderId="31"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2" fillId="0" borderId="70" xfId="0" applyFont="1" applyBorder="1" applyAlignment="1">
      <alignment horizontal="left" vertical="center" wrapText="1"/>
    </xf>
    <xf numFmtId="0" fontId="2" fillId="0" borderId="68" xfId="0" applyFont="1" applyBorder="1" applyAlignment="1">
      <alignment horizontal="left" vertical="center" wrapText="1"/>
    </xf>
    <xf numFmtId="0" fontId="2" fillId="0" borderId="69" xfId="0" applyFont="1" applyBorder="1" applyAlignment="1">
      <alignment horizontal="left" vertical="center" wrapText="1"/>
    </xf>
    <xf numFmtId="0" fontId="2" fillId="0" borderId="67" xfId="0" applyFont="1" applyBorder="1" applyAlignment="1">
      <alignment horizontal="left" vertical="center" wrapText="1"/>
    </xf>
    <xf numFmtId="0" fontId="2" fillId="0" borderId="48" xfId="0" applyFont="1" applyBorder="1" applyAlignment="1">
      <alignment horizontal="left" vertical="center" wrapText="1"/>
    </xf>
    <xf numFmtId="0" fontId="2" fillId="0" borderId="74" xfId="0" applyFont="1" applyBorder="1" applyAlignment="1">
      <alignment horizontal="left" vertical="center" wrapText="1"/>
    </xf>
    <xf numFmtId="0" fontId="0" fillId="0" borderId="53" xfId="0" applyFont="1" applyFill="1" applyBorder="1" applyAlignment="1">
      <alignment horizontal="left" vertical="top" wrapText="1"/>
    </xf>
    <xf numFmtId="0" fontId="2" fillId="14" borderId="57" xfId="0" applyFont="1" applyFill="1" applyBorder="1" applyAlignment="1">
      <alignment horizontal="center" vertical="center" wrapText="1"/>
    </xf>
    <xf numFmtId="0" fontId="2" fillId="14" borderId="97"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2" fillId="7" borderId="48" xfId="0" applyFont="1" applyFill="1" applyBorder="1" applyAlignment="1">
      <alignment horizontal="center" vertical="center" wrapText="1"/>
    </xf>
    <xf numFmtId="0" fontId="2" fillId="8" borderId="79" xfId="0" applyFont="1" applyFill="1" applyBorder="1" applyAlignment="1">
      <alignment horizontal="center" vertical="center"/>
    </xf>
    <xf numFmtId="0" fontId="2" fillId="8" borderId="47" xfId="0" applyFont="1" applyFill="1" applyBorder="1" applyAlignment="1">
      <alignment horizontal="center" vertical="center"/>
    </xf>
    <xf numFmtId="0" fontId="16" fillId="8" borderId="23"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5" fillId="0" borderId="49" xfId="0" applyFont="1" applyFill="1" applyBorder="1" applyAlignment="1">
      <alignment wrapText="1"/>
    </xf>
    <xf numFmtId="0" fontId="0" fillId="0" borderId="82" xfId="0" applyBorder="1" applyAlignment="1">
      <alignment wrapText="1"/>
    </xf>
    <xf numFmtId="0" fontId="0" fillId="0" borderId="83" xfId="0" applyBorder="1" applyAlignment="1">
      <alignment wrapText="1"/>
    </xf>
    <xf numFmtId="0" fontId="2" fillId="7" borderId="84" xfId="0" applyFont="1" applyFill="1" applyBorder="1" applyAlignment="1">
      <alignment horizontal="center" vertical="center" wrapText="1"/>
    </xf>
    <xf numFmtId="0" fontId="16" fillId="7" borderId="8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1" xfId="0" applyBorder="1" applyAlignment="1">
      <alignment horizontal="center" vertical="center" wrapText="1"/>
    </xf>
    <xf numFmtId="0" fontId="15" fillId="0" borderId="49" xfId="0" applyFont="1" applyBorder="1" applyAlignment="1">
      <alignment vertical="top" wrapText="1"/>
    </xf>
    <xf numFmtId="0" fontId="15" fillId="0" borderId="82" xfId="0" applyFont="1" applyBorder="1" applyAlignment="1">
      <alignment vertical="top" wrapText="1"/>
    </xf>
    <xf numFmtId="0" fontId="15" fillId="0" borderId="83" xfId="0" applyFont="1" applyBorder="1" applyAlignment="1">
      <alignment vertical="top" wrapText="1"/>
    </xf>
    <xf numFmtId="0" fontId="16" fillId="7" borderId="23" xfId="0" applyFont="1" applyFill="1" applyBorder="1" applyAlignment="1">
      <alignment horizontal="center" wrapText="1"/>
    </xf>
    <xf numFmtId="0" fontId="16" fillId="22" borderId="10" xfId="0" applyFont="1" applyFill="1" applyBorder="1" applyAlignment="1">
      <alignment horizontal="center" wrapText="1"/>
    </xf>
    <xf numFmtId="0" fontId="16" fillId="0" borderId="10" xfId="0" applyFont="1" applyFill="1" applyBorder="1" applyAlignment="1">
      <alignment horizontal="center" vertical="center" wrapText="1"/>
    </xf>
    <xf numFmtId="0" fontId="16" fillId="22" borderId="10" xfId="0" applyFont="1" applyFill="1" applyBorder="1" applyAlignment="1">
      <alignment horizontal="center" vertical="center" wrapText="1"/>
    </xf>
    <xf numFmtId="0" fontId="2" fillId="22" borderId="31" xfId="0" applyFont="1" applyFill="1" applyBorder="1" applyAlignment="1">
      <alignment horizontal="center" vertical="center" wrapText="1"/>
    </xf>
    <xf numFmtId="0" fontId="2" fillId="22" borderId="41"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22" borderId="31" xfId="0" applyFont="1" applyFill="1" applyBorder="1" applyAlignment="1">
      <alignment horizontal="center" vertical="center" wrapText="1"/>
    </xf>
    <xf numFmtId="0" fontId="15" fillId="22" borderId="30" xfId="0" applyFont="1" applyFill="1" applyBorder="1" applyAlignment="1">
      <alignment horizontal="center" vertical="center" wrapText="1"/>
    </xf>
    <xf numFmtId="0" fontId="16" fillId="22" borderId="41" xfId="0" applyFont="1" applyFill="1" applyBorder="1" applyAlignment="1">
      <alignment horizontal="center" vertical="center" wrapText="1"/>
    </xf>
    <xf numFmtId="172" fontId="15" fillId="8" borderId="10" xfId="42" applyNumberFormat="1" applyFont="1" applyFill="1" applyBorder="1" applyAlignment="1">
      <alignment horizontal="right" vertical="center" wrapText="1"/>
    </xf>
    <xf numFmtId="0" fontId="2" fillId="7" borderId="31" xfId="0" applyFont="1" applyFill="1" applyBorder="1" applyAlignment="1">
      <alignment horizontal="center" vertical="top" wrapText="1"/>
    </xf>
    <xf numFmtId="0" fontId="2" fillId="7" borderId="41" xfId="0" applyFont="1" applyFill="1" applyBorder="1" applyAlignment="1">
      <alignment horizontal="center" vertical="top" wrapText="1"/>
    </xf>
    <xf numFmtId="0" fontId="2" fillId="8" borderId="31" xfId="0" applyFont="1" applyFill="1" applyBorder="1" applyAlignment="1">
      <alignment horizontal="center" vertical="top" wrapText="1"/>
    </xf>
    <xf numFmtId="0" fontId="2" fillId="8" borderId="41" xfId="0" applyFont="1" applyFill="1" applyBorder="1" applyAlignment="1">
      <alignment horizontal="center" vertical="top" wrapText="1"/>
    </xf>
    <xf numFmtId="0" fontId="15" fillId="0" borderId="40" xfId="0" applyFont="1" applyFill="1" applyBorder="1" applyAlignment="1">
      <alignment wrapText="1"/>
    </xf>
    <xf numFmtId="0" fontId="15" fillId="0" borderId="98" xfId="0" applyFont="1" applyFill="1" applyBorder="1" applyAlignment="1">
      <alignment wrapText="1"/>
    </xf>
    <xf numFmtId="0" fontId="15" fillId="0" borderId="66" xfId="0" applyFont="1" applyFill="1" applyBorder="1" applyAlignment="1">
      <alignment wrapText="1"/>
    </xf>
    <xf numFmtId="0" fontId="16" fillId="8" borderId="10" xfId="0" applyFont="1" applyFill="1" applyBorder="1" applyAlignment="1">
      <alignment horizontal="center" wrapText="1"/>
    </xf>
    <xf numFmtId="172" fontId="15" fillId="7" borderId="10" xfId="42" applyNumberFormat="1" applyFont="1" applyFill="1" applyBorder="1" applyAlignment="1">
      <alignment horizontal="right" vertical="top" wrapText="1"/>
    </xf>
    <xf numFmtId="0" fontId="16" fillId="7" borderId="10" xfId="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63"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7" borderId="23" xfId="0" applyFont="1" applyFill="1" applyBorder="1" applyAlignment="1">
      <alignment horizontal="center" vertical="center" wrapText="1"/>
    </xf>
    <xf numFmtId="172" fontId="15" fillId="8" borderId="10" xfId="42" applyNumberFormat="1" applyFont="1" applyFill="1" applyBorder="1" applyAlignment="1">
      <alignment horizontal="center" vertical="center" wrapText="1"/>
    </xf>
    <xf numFmtId="0" fontId="16" fillId="8" borderId="31" xfId="0" applyFont="1" applyFill="1" applyBorder="1" applyAlignment="1">
      <alignment horizontal="center" vertical="center" wrapText="1"/>
    </xf>
    <xf numFmtId="0" fontId="15" fillId="8" borderId="30" xfId="0" applyFont="1" applyFill="1" applyBorder="1" applyAlignment="1">
      <alignment horizontal="center" vertical="center" wrapText="1"/>
    </xf>
    <xf numFmtId="0" fontId="16" fillId="8" borderId="41" xfId="0" applyFont="1" applyFill="1" applyBorder="1" applyAlignment="1">
      <alignment horizontal="center" vertical="center" wrapText="1"/>
    </xf>
    <xf numFmtId="0" fontId="16" fillId="0" borderId="0" xfId="0" applyFont="1" applyBorder="1" applyAlignment="1">
      <alignment horizontal="right" wrapText="1"/>
    </xf>
    <xf numFmtId="0" fontId="16" fillId="0" borderId="10" xfId="0" applyFont="1" applyBorder="1" applyAlignment="1">
      <alignment horizontal="center" vertical="center" wrapText="1"/>
    </xf>
    <xf numFmtId="0" fontId="16" fillId="7" borderId="10" xfId="0" applyFont="1" applyFill="1" applyBorder="1" applyAlignment="1">
      <alignment horizontal="center" wrapText="1"/>
    </xf>
    <xf numFmtId="0" fontId="16" fillId="10" borderId="40" xfId="0" applyFont="1" applyFill="1" applyBorder="1" applyAlignment="1">
      <alignment horizontal="center" vertical="center" wrapText="1"/>
    </xf>
    <xf numFmtId="0" fontId="0" fillId="0" borderId="98" xfId="0" applyBorder="1" applyAlignment="1">
      <alignment wrapText="1"/>
    </xf>
    <xf numFmtId="0" fontId="0" fillId="0" borderId="66" xfId="0" applyBorder="1" applyAlignment="1">
      <alignment wrapText="1"/>
    </xf>
    <xf numFmtId="0" fontId="16" fillId="7" borderId="31" xfId="0" applyFont="1" applyFill="1" applyBorder="1" applyAlignment="1">
      <alignment horizontal="center" vertical="center" wrapText="1"/>
    </xf>
    <xf numFmtId="0" fontId="15" fillId="7" borderId="30" xfId="0" applyFont="1" applyFill="1" applyBorder="1" applyAlignment="1">
      <alignment horizontal="center" vertical="center" wrapText="1"/>
    </xf>
    <xf numFmtId="0" fontId="16" fillId="7" borderId="41" xfId="0" applyFont="1" applyFill="1" applyBorder="1" applyAlignment="1">
      <alignment horizontal="center" vertical="center" wrapText="1"/>
    </xf>
    <xf numFmtId="0" fontId="6" fillId="10" borderId="0" xfId="0" applyFont="1" applyFill="1" applyBorder="1" applyAlignment="1">
      <alignment horizontal="center" vertical="center"/>
    </xf>
    <xf numFmtId="0" fontId="0" fillId="0" borderId="0" xfId="0" applyAlignment="1">
      <alignment horizontal="center" vertical="center"/>
    </xf>
    <xf numFmtId="0" fontId="5" fillId="0" borderId="2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49"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2" fillId="22" borderId="15" xfId="0" applyFont="1" applyFill="1" applyBorder="1" applyAlignment="1">
      <alignment horizontal="center" wrapText="1"/>
    </xf>
    <xf numFmtId="0" fontId="2" fillId="22" borderId="24" xfId="0" applyFont="1" applyFill="1" applyBorder="1" applyAlignment="1">
      <alignment horizontal="center" wrapText="1"/>
    </xf>
    <xf numFmtId="0" fontId="2" fillId="22" borderId="29" xfId="0" applyFont="1" applyFill="1" applyBorder="1" applyAlignment="1">
      <alignment horizontal="center" wrapText="1"/>
    </xf>
    <xf numFmtId="0" fontId="2" fillId="22" borderId="15" xfId="0" applyFont="1" applyFill="1" applyBorder="1" applyAlignment="1">
      <alignment horizontal="center" vertical="center" wrapText="1" shrinkToFit="1"/>
    </xf>
    <xf numFmtId="0" fontId="2" fillId="8" borderId="90" xfId="0" applyFont="1" applyFill="1" applyBorder="1" applyAlignment="1">
      <alignment horizontal="center"/>
    </xf>
    <xf numFmtId="0" fontId="2" fillId="8" borderId="24" xfId="0" applyFont="1" applyFill="1" applyBorder="1" applyAlignment="1">
      <alignment horizontal="center" wrapText="1"/>
    </xf>
    <xf numFmtId="0" fontId="2" fillId="8" borderId="27" xfId="0" applyFont="1" applyFill="1" applyBorder="1" applyAlignment="1">
      <alignment horizontal="center" vertical="center"/>
    </xf>
    <xf numFmtId="0" fontId="2" fillId="8" borderId="11" xfId="0" applyFont="1" applyFill="1" applyBorder="1" applyAlignment="1">
      <alignment horizontal="center" vertical="center"/>
    </xf>
    <xf numFmtId="0" fontId="2" fillId="7" borderId="13" xfId="0" applyFont="1" applyFill="1" applyBorder="1" applyAlignment="1">
      <alignment horizontal="center" wrapText="1"/>
    </xf>
    <xf numFmtId="0" fontId="2" fillId="7" borderId="14" xfId="0" applyFont="1" applyFill="1" applyBorder="1" applyAlignment="1">
      <alignment horizontal="center" wrapText="1"/>
    </xf>
    <xf numFmtId="0" fontId="2" fillId="7" borderId="90" xfId="0" applyFont="1" applyFill="1" applyBorder="1" applyAlignment="1">
      <alignment horizontal="center"/>
    </xf>
    <xf numFmtId="0" fontId="2" fillId="7" borderId="99" xfId="0" applyFont="1" applyFill="1" applyBorder="1" applyAlignment="1">
      <alignment horizontal="center" wrapText="1"/>
    </xf>
    <xf numFmtId="0" fontId="2" fillId="7" borderId="100" xfId="0" applyFont="1" applyFill="1" applyBorder="1" applyAlignment="1">
      <alignment horizontal="center" wrapText="1"/>
    </xf>
    <xf numFmtId="0" fontId="0" fillId="0" borderId="49"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0" xfId="0" applyFont="1" applyAlignment="1">
      <alignment vertical="top"/>
    </xf>
    <xf numFmtId="0" fontId="8" fillId="20" borderId="0" xfId="0" applyFont="1" applyFill="1" applyBorder="1" applyAlignment="1">
      <alignment horizontal="left" vertical="top" wrapText="1"/>
    </xf>
    <xf numFmtId="0" fontId="0" fillId="0" borderId="0" xfId="0" applyBorder="1" applyAlignment="1">
      <alignment horizontal="left" vertical="top"/>
    </xf>
    <xf numFmtId="0" fontId="8" fillId="25" borderId="0" xfId="0" applyFont="1" applyFill="1" applyBorder="1" applyAlignment="1">
      <alignment horizontal="left" vertical="top" wrapText="1"/>
    </xf>
    <xf numFmtId="0" fontId="2" fillId="22" borderId="78" xfId="0" applyFont="1" applyFill="1" applyBorder="1" applyAlignment="1">
      <alignment horizontal="center"/>
    </xf>
    <xf numFmtId="0" fontId="8" fillId="9" borderId="0" xfId="0" applyFont="1" applyFill="1" applyBorder="1" applyAlignment="1">
      <alignment horizontal="left" vertical="top" wrapText="1"/>
    </xf>
    <xf numFmtId="0" fontId="5" fillId="0" borderId="8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3" xfId="0" applyFont="1" applyBorder="1" applyAlignment="1">
      <alignment horizontal="center" vertical="center" wrapText="1"/>
    </xf>
    <xf numFmtId="0" fontId="2" fillId="22" borderId="40" xfId="0" applyFont="1" applyFill="1" applyBorder="1" applyAlignment="1">
      <alignment horizontal="center" wrapText="1"/>
    </xf>
    <xf numFmtId="0" fontId="2" fillId="22" borderId="23" xfId="0" applyFont="1" applyFill="1" applyBorder="1" applyAlignment="1">
      <alignment horizontal="center" vertical="center"/>
    </xf>
    <xf numFmtId="0" fontId="2" fillId="22" borderId="10" xfId="0" applyFont="1" applyFill="1" applyBorder="1" applyAlignment="1">
      <alignment horizontal="center" vertical="center"/>
    </xf>
    <xf numFmtId="0" fontId="5" fillId="0" borderId="10" xfId="0" applyFont="1" applyBorder="1" applyAlignment="1">
      <alignment horizontal="center" vertical="center" wrapText="1"/>
    </xf>
    <xf numFmtId="0" fontId="2" fillId="8" borderId="84" xfId="0" applyFont="1" applyFill="1" applyBorder="1" applyAlignment="1">
      <alignment horizontal="center" vertical="top" wrapText="1"/>
    </xf>
    <xf numFmtId="0" fontId="2" fillId="8" borderId="41" xfId="0" applyFont="1" applyFill="1" applyBorder="1" applyAlignment="1">
      <alignment horizontal="center" vertical="top" wrapText="1"/>
    </xf>
    <xf numFmtId="0" fontId="5" fillId="0" borderId="8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14" xfId="0" applyFont="1" applyBorder="1" applyAlignment="1">
      <alignment horizontal="center" vertical="center" wrapText="1"/>
    </xf>
    <xf numFmtId="3" fontId="0" fillId="0" borderId="49" xfId="0" applyNumberFormat="1" applyFont="1" applyFill="1" applyBorder="1" applyAlignment="1">
      <alignment vertical="center" wrapText="1"/>
    </xf>
    <xf numFmtId="3" fontId="0" fillId="0" borderId="82" xfId="0" applyNumberFormat="1" applyFont="1" applyFill="1" applyBorder="1" applyAlignment="1">
      <alignment vertical="center" wrapText="1"/>
    </xf>
    <xf numFmtId="3" fontId="0" fillId="0" borderId="83" xfId="0" applyNumberFormat="1" applyFont="1" applyFill="1" applyBorder="1" applyAlignment="1">
      <alignment vertical="center" wrapText="1"/>
    </xf>
    <xf numFmtId="0" fontId="2" fillId="7" borderId="79" xfId="0" applyFont="1" applyFill="1" applyBorder="1" applyAlignment="1">
      <alignment horizontal="center" vertical="top" wrapText="1"/>
    </xf>
    <xf numFmtId="0" fontId="2" fillId="7" borderId="47" xfId="0" applyFont="1" applyFill="1" applyBorder="1" applyAlignment="1">
      <alignment horizontal="center" vertical="top" wrapText="1"/>
    </xf>
    <xf numFmtId="0" fontId="2" fillId="0" borderId="0" xfId="0" applyFont="1" applyAlignment="1">
      <alignment horizontal="center" vertical="center" wrapText="1"/>
    </xf>
    <xf numFmtId="0" fontId="2" fillId="0" borderId="0" xfId="0" applyFont="1" applyBorder="1" applyAlignment="1">
      <alignment horizontal="center"/>
    </xf>
    <xf numFmtId="0" fontId="2" fillId="0" borderId="0" xfId="0" applyFont="1" applyAlignment="1">
      <alignment horizontal="right" vertical="center" wrapText="1"/>
    </xf>
    <xf numFmtId="0" fontId="0" fillId="0" borderId="0" xfId="0" applyAlignment="1">
      <alignment vertical="center" wrapText="1"/>
    </xf>
    <xf numFmtId="0" fontId="2" fillId="10" borderId="0" xfId="0" applyFont="1" applyFill="1" applyBorder="1" applyAlignment="1">
      <alignment horizontal="center" vertical="justify"/>
    </xf>
    <xf numFmtId="0" fontId="66" fillId="28" borderId="10" xfId="0" applyFont="1" applyFill="1" applyBorder="1" applyAlignment="1">
      <alignment horizontal="center"/>
    </xf>
    <xf numFmtId="0" fontId="66" fillId="28" borderId="31" xfId="0" applyFont="1" applyFill="1" applyBorder="1" applyAlignment="1">
      <alignment horizontal="center" vertical="center" wrapText="1"/>
    </xf>
    <xf numFmtId="0" fontId="66" fillId="28" borderId="4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shrinkToFit="1"/>
    </xf>
    <xf numFmtId="0" fontId="0" fillId="0" borderId="10" xfId="0" applyBorder="1" applyAlignment="1">
      <alignment vertical="center"/>
    </xf>
    <xf numFmtId="0" fontId="12" fillId="0" borderId="10" xfId="0" applyFont="1" applyBorder="1" applyAlignment="1">
      <alignment vertical="center"/>
    </xf>
    <xf numFmtId="0" fontId="12" fillId="0" borderId="10" xfId="0" applyFont="1" applyFill="1" applyBorder="1" applyAlignment="1">
      <alignment vertical="center"/>
    </xf>
    <xf numFmtId="0" fontId="67" fillId="0" borderId="40" xfId="0" applyFont="1" applyFill="1" applyBorder="1" applyAlignment="1">
      <alignment horizontal="left" vertical="center" wrapText="1" shrinkToFit="1"/>
    </xf>
    <xf numFmtId="0" fontId="67" fillId="0" borderId="98" xfId="0" applyFont="1" applyFill="1" applyBorder="1" applyAlignment="1">
      <alignment horizontal="left" vertical="center" wrapText="1" shrinkToFit="1"/>
    </xf>
    <xf numFmtId="0" fontId="0" fillId="0" borderId="66" xfId="0" applyBorder="1" applyAlignment="1">
      <alignment vertical="center"/>
    </xf>
    <xf numFmtId="0" fontId="66" fillId="28" borderId="31" xfId="0" applyFont="1" applyFill="1" applyBorder="1" applyAlignment="1">
      <alignment horizontal="center" vertical="center"/>
    </xf>
    <xf numFmtId="0" fontId="66" fillId="28" borderId="41" xfId="0" applyFont="1" applyFill="1" applyBorder="1" applyAlignment="1">
      <alignment horizontal="center" vertical="center"/>
    </xf>
    <xf numFmtId="0" fontId="66" fillId="28" borderId="31" xfId="0" applyFont="1" applyFill="1" applyBorder="1" applyAlignment="1">
      <alignment horizontal="center" vertical="center" wrapText="1" shrinkToFit="1"/>
    </xf>
    <xf numFmtId="0" fontId="66" fillId="28" borderId="41" xfId="0" applyFont="1" applyFill="1" applyBorder="1" applyAlignment="1">
      <alignment horizontal="center" vertical="center" wrapText="1" shrinkToFit="1"/>
    </xf>
    <xf numFmtId="0" fontId="0" fillId="0" borderId="40"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12" fillId="22" borderId="40" xfId="0" applyFont="1" applyFill="1" applyBorder="1" applyAlignment="1">
      <alignment vertical="center" wrapText="1" shrinkToFit="1"/>
    </xf>
    <xf numFmtId="0" fontId="0" fillId="22" borderId="98" xfId="0" applyFill="1" applyBorder="1" applyAlignment="1">
      <alignment vertical="center"/>
    </xf>
    <xf numFmtId="0" fontId="0" fillId="22" borderId="66" xfId="0" applyFill="1" applyBorder="1" applyAlignment="1">
      <alignment vertical="center"/>
    </xf>
    <xf numFmtId="0" fontId="12" fillId="0" borderId="40" xfId="0" applyFont="1" applyFill="1" applyBorder="1" applyAlignment="1">
      <alignment horizontal="left" vertical="center" wrapText="1" shrinkToFit="1"/>
    </xf>
    <xf numFmtId="0" fontId="12" fillId="0" borderId="98" xfId="0" applyFont="1" applyFill="1" applyBorder="1" applyAlignment="1">
      <alignment horizontal="left" vertical="center" wrapText="1" shrinkToFit="1"/>
    </xf>
    <xf numFmtId="0" fontId="0" fillId="0" borderId="98" xfId="0" applyBorder="1" applyAlignment="1">
      <alignment vertical="center"/>
    </xf>
    <xf numFmtId="0" fontId="12" fillId="0" borderId="40" xfId="0" applyFont="1" applyFill="1" applyBorder="1" applyAlignment="1">
      <alignment horizontal="left" vertical="center" wrapText="1"/>
    </xf>
    <xf numFmtId="0" fontId="12" fillId="0" borderId="98" xfId="0" applyFont="1" applyFill="1" applyBorder="1" applyAlignment="1">
      <alignment horizontal="left" vertical="center" wrapText="1"/>
    </xf>
    <xf numFmtId="0" fontId="67" fillId="22" borderId="40" xfId="0" applyFont="1" applyFill="1" applyBorder="1" applyAlignment="1">
      <alignment horizontal="left" vertical="center" wrapText="1"/>
    </xf>
    <xf numFmtId="0" fontId="67" fillId="22" borderId="98" xfId="0" applyFont="1" applyFill="1" applyBorder="1" applyAlignment="1">
      <alignment horizontal="left" vertical="center" wrapText="1"/>
    </xf>
    <xf numFmtId="0" fontId="6" fillId="0" borderId="0" xfId="0" applyFont="1" applyAlignment="1">
      <alignment horizontal="center" vertical="center"/>
    </xf>
    <xf numFmtId="0" fontId="12" fillId="0" borderId="40" xfId="0" applyFont="1" applyFill="1" applyBorder="1" applyAlignment="1">
      <alignment vertical="center"/>
    </xf>
    <xf numFmtId="0" fontId="12" fillId="0" borderId="10" xfId="0" applyFont="1" applyFill="1" applyBorder="1" applyAlignment="1">
      <alignment horizontal="left" vertical="center" wrapText="1"/>
    </xf>
    <xf numFmtId="0" fontId="49" fillId="0" borderId="0" xfId="0" applyFont="1" applyFill="1" applyBorder="1" applyAlignment="1">
      <alignment horizontal="left" vertical="center" shrinkToFit="1"/>
    </xf>
    <xf numFmtId="0" fontId="2" fillId="0" borderId="40" xfId="0" applyFont="1" applyFill="1" applyBorder="1" applyAlignment="1">
      <alignment vertical="center" wrapText="1" shrinkToFit="1"/>
    </xf>
    <xf numFmtId="0" fontId="2" fillId="0" borderId="98" xfId="0" applyFont="1" applyFill="1" applyBorder="1" applyAlignment="1">
      <alignment vertical="center" wrapText="1" shrinkToFit="1"/>
    </xf>
    <xf numFmtId="0" fontId="2" fillId="0" borderId="66" xfId="0" applyFont="1" applyFill="1" applyBorder="1" applyAlignment="1">
      <alignment vertical="center" wrapText="1" shrinkToFit="1"/>
    </xf>
    <xf numFmtId="0" fontId="12" fillId="22" borderId="40" xfId="0" applyFont="1" applyFill="1" applyBorder="1" applyAlignment="1">
      <alignment horizontal="left" vertical="center" wrapText="1" shrinkToFit="1"/>
    </xf>
    <xf numFmtId="0" fontId="12" fillId="22" borderId="98" xfId="0" applyFont="1" applyFill="1" applyBorder="1" applyAlignment="1">
      <alignment horizontal="left" vertical="center"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215"/>
          <c:w val="0.9875"/>
          <c:h val="0.95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a:ln w="12700">
                <a:solidFill>
                  <a:srgbClr val="000000"/>
                </a:solidFill>
              </a:ln>
            </c:spPr>
          </c:dPt>
          <c:dPt>
            <c:idx val="1"/>
            <c:invertIfNegative val="0"/>
            <c:spPr>
              <a:solidFill>
                <a:srgbClr val="99CCFF"/>
              </a:solidFill>
              <a:ln w="12700">
                <a:solidFill>
                  <a:srgbClr val="000000"/>
                </a:solidFill>
              </a:ln>
            </c:spPr>
          </c:dPt>
          <c:dPt>
            <c:idx val="2"/>
            <c:invertIfNegative val="0"/>
            <c:spPr>
              <a:solidFill>
                <a:srgbClr val="FFFF99"/>
              </a:solidFill>
              <a:ln w="12700">
                <a:solidFill>
                  <a:srgbClr val="000000"/>
                </a:solidFill>
              </a:ln>
            </c:spPr>
          </c:dPt>
          <c:dPt>
            <c:idx val="3"/>
            <c:invertIfNegative val="0"/>
            <c:spPr>
              <a:solidFill>
                <a:srgbClr val="33CCCC"/>
              </a:solidFill>
              <a:ln w="12700">
                <a:solidFill>
                  <a:srgbClr val="000000"/>
                </a:solidFill>
              </a:ln>
            </c:spPr>
          </c:dPt>
          <c:cat>
            <c:strRef>
              <c:f>'[5]Prelucrare'!$A$65:$A$68</c:f>
              <c:strCache>
                <c:ptCount val="4"/>
                <c:pt idx="0">
                  <c:v>Sprijin direct pentru implementare PO</c:v>
                </c:pt>
                <c:pt idx="1">
                  <c:v>Sprijin indirect pentru implementare PO</c:v>
                </c:pt>
                <c:pt idx="2">
                  <c:v>Promovare şi publicitate</c:v>
                </c:pt>
                <c:pt idx="3">
                  <c:v>Total </c:v>
                </c:pt>
              </c:strCache>
            </c:strRef>
          </c:cat>
          <c:val>
            <c:numRef>
              <c:f>'[5]Prelucrare'!$B$65:$B$68</c:f>
              <c:numCache>
                <c:ptCount val="4"/>
                <c:pt idx="0">
                  <c:v>11956900</c:v>
                </c:pt>
                <c:pt idx="1">
                  <c:v>14398470</c:v>
                </c:pt>
                <c:pt idx="2">
                  <c:v>4364578</c:v>
                </c:pt>
                <c:pt idx="3">
                  <c:v>30719948</c:v>
                </c:pt>
              </c:numCache>
            </c:numRef>
          </c:val>
        </c:ser>
        <c:axId val="46118460"/>
        <c:axId val="44909885"/>
      </c:barChart>
      <c:catAx>
        <c:axId val="46118460"/>
        <c:scaling>
          <c:orientation val="minMax"/>
        </c:scaling>
        <c:axPos val="b"/>
        <c:delete val="0"/>
        <c:numFmt formatCode="General" sourceLinked="1"/>
        <c:majorTickMark val="out"/>
        <c:minorTickMark val="none"/>
        <c:tickLblPos val="nextTo"/>
        <c:spPr>
          <a:ln w="3175">
            <a:solidFill>
              <a:srgbClr val="000000"/>
            </a:solidFill>
          </a:ln>
        </c:spPr>
        <c:crossAx val="44909885"/>
        <c:crosses val="autoZero"/>
        <c:auto val="1"/>
        <c:lblOffset val="100"/>
        <c:tickLblSkip val="1"/>
        <c:noMultiLvlLbl val="0"/>
      </c:catAx>
      <c:valAx>
        <c:axId val="449098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1184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99"/>
              </a:solidFill>
            </c:spPr>
          </c:dPt>
          <c:dPt>
            <c:idx val="1"/>
            <c:invertIfNegative val="0"/>
            <c:spPr>
              <a:solidFill>
                <a:srgbClr val="99CCFF"/>
              </a:solidFill>
            </c:spPr>
          </c:dPt>
          <c:dPt>
            <c:idx val="2"/>
            <c:invertIfNegative val="0"/>
            <c:spPr>
              <a:solidFill>
                <a:srgbClr val="FFFF99"/>
              </a:solidFill>
            </c:spPr>
          </c:dPt>
          <c:dPt>
            <c:idx val="3"/>
            <c:invertIfNegative val="0"/>
            <c:spPr>
              <a:solidFill>
                <a:srgbClr val="00CCFF"/>
              </a:solidFill>
            </c:spPr>
          </c:dPt>
          <c:cat>
            <c:strRef>
              <c:f>PODCA!$A$34:$A$37</c:f>
              <c:strCache/>
            </c:strRef>
          </c:cat>
          <c:val>
            <c:numRef>
              <c:f>PODCA!$B$34:$B$37</c:f>
              <c:numCache/>
            </c:numRef>
          </c:val>
        </c:ser>
        <c:axId val="61061832"/>
        <c:axId val="9596105"/>
      </c:barChart>
      <c:catAx>
        <c:axId val="6106183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9596105"/>
        <c:crosses val="autoZero"/>
        <c:auto val="1"/>
        <c:lblOffset val="100"/>
        <c:noMultiLvlLbl val="0"/>
      </c:catAx>
      <c:valAx>
        <c:axId val="9596105"/>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06183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FF"/>
              </a:solidFill>
              <a:ln w="12700">
                <a:solidFill>
                  <a:srgbClr val="000000"/>
                </a:solidFill>
              </a:ln>
            </c:spPr>
          </c:dPt>
          <c:dPt>
            <c:idx val="2"/>
            <c:invertIfNegative val="0"/>
            <c:spPr>
              <a:solidFill>
                <a:srgbClr val="FFFF99"/>
              </a:solidFill>
              <a:ln w="12700">
                <a:solidFill>
                  <a:srgbClr val="000000"/>
                </a:solidFill>
              </a:ln>
            </c:spPr>
          </c:dPt>
          <c:dPt>
            <c:idx val="3"/>
            <c:invertIfNegative val="0"/>
            <c:spPr>
              <a:solidFill>
                <a:srgbClr val="33CCCC"/>
              </a:solidFill>
              <a:ln w="12700">
                <a:solidFill>
                  <a:srgbClr val="000000"/>
                </a:solidFill>
              </a:ln>
            </c:spPr>
          </c:dPt>
          <c:cat>
            <c:strRef>
              <c:f>'[4]Prelucrare'!$A$47:$A$50</c:f>
              <c:strCache>
                <c:ptCount val="4"/>
                <c:pt idx="0">
                  <c:v>Sprijin direct pentru implementare PO</c:v>
                </c:pt>
                <c:pt idx="1">
                  <c:v>Sprijin indirect pentru implementare PO</c:v>
                </c:pt>
                <c:pt idx="2">
                  <c:v>Promovare şi publicitate</c:v>
                </c:pt>
                <c:pt idx="3">
                  <c:v>Total </c:v>
                </c:pt>
              </c:strCache>
            </c:strRef>
          </c:cat>
          <c:val>
            <c:numRef>
              <c:f>'[4]Prelucrare'!$B$47:$B$50</c:f>
              <c:numCache>
                <c:ptCount val="4"/>
                <c:pt idx="0">
                  <c:v>15332828</c:v>
                </c:pt>
                <c:pt idx="1">
                  <c:v>4723200</c:v>
                </c:pt>
                <c:pt idx="2">
                  <c:v>1115230</c:v>
                </c:pt>
                <c:pt idx="3">
                  <c:v>21171258</c:v>
                </c:pt>
              </c:numCache>
            </c:numRef>
          </c:val>
        </c:ser>
        <c:axId val="19767050"/>
        <c:axId val="9789835"/>
      </c:barChart>
      <c:catAx>
        <c:axId val="19767050"/>
        <c:scaling>
          <c:orientation val="minMax"/>
        </c:scaling>
        <c:axPos val="b"/>
        <c:delete val="0"/>
        <c:numFmt formatCode="General" sourceLinked="1"/>
        <c:majorTickMark val="out"/>
        <c:minorTickMark val="none"/>
        <c:tickLblPos val="nextTo"/>
        <c:spPr>
          <a:ln w="3175">
            <a:solidFill>
              <a:srgbClr val="000000"/>
            </a:solidFill>
          </a:ln>
        </c:spPr>
        <c:crossAx val="9789835"/>
        <c:crosses val="autoZero"/>
        <c:auto val="1"/>
        <c:lblOffset val="100"/>
        <c:tickLblSkip val="1"/>
        <c:noMultiLvlLbl val="0"/>
      </c:catAx>
      <c:valAx>
        <c:axId val="97898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7670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29"/>
          <c:w val="0.94225"/>
          <c:h val="0.940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FF"/>
              </a:solidFill>
              <a:ln w="12700">
                <a:solidFill>
                  <a:srgbClr val="000000"/>
                </a:solidFill>
              </a:ln>
            </c:spPr>
          </c:dPt>
          <c:dPt>
            <c:idx val="2"/>
            <c:invertIfNegative val="0"/>
            <c:spPr>
              <a:solidFill>
                <a:srgbClr val="FFFF99"/>
              </a:solidFill>
              <a:ln w="12700">
                <a:solidFill>
                  <a:srgbClr val="000000"/>
                </a:solidFill>
              </a:ln>
            </c:spPr>
          </c:dPt>
          <c:dPt>
            <c:idx val="3"/>
            <c:invertIfNegative val="0"/>
            <c:spPr>
              <a:solidFill>
                <a:srgbClr val="33CCCC"/>
              </a:solidFill>
              <a:ln w="12700">
                <a:solidFill>
                  <a:srgbClr val="000000"/>
                </a:solidFill>
              </a:ln>
            </c:spPr>
          </c:dPt>
          <c:cat>
            <c:strRef>
              <c:f>'[4]Prelucrare'!$A$47:$A$50</c:f>
              <c:strCache>
                <c:ptCount val="4"/>
                <c:pt idx="0">
                  <c:v>Sprijin direct pentru implementare PO</c:v>
                </c:pt>
                <c:pt idx="1">
                  <c:v>Sprijin indirect pentru implementare PO</c:v>
                </c:pt>
                <c:pt idx="2">
                  <c:v>Promovare şi publicitate</c:v>
                </c:pt>
                <c:pt idx="3">
                  <c:v>Total </c:v>
                </c:pt>
              </c:strCache>
            </c:strRef>
          </c:cat>
          <c:val>
            <c:numRef>
              <c:f>'[4]Prelucrare'!$B$47:$B$50</c:f>
              <c:numCache>
                <c:ptCount val="4"/>
                <c:pt idx="0">
                  <c:v>15332828</c:v>
                </c:pt>
                <c:pt idx="1">
                  <c:v>4723200</c:v>
                </c:pt>
                <c:pt idx="2">
                  <c:v>1115230</c:v>
                </c:pt>
                <c:pt idx="3">
                  <c:v>21171258</c:v>
                </c:pt>
              </c:numCache>
            </c:numRef>
          </c:val>
        </c:ser>
        <c:axId val="32359500"/>
        <c:axId val="22992717"/>
      </c:barChart>
      <c:catAx>
        <c:axId val="32359500"/>
        <c:scaling>
          <c:orientation val="minMax"/>
        </c:scaling>
        <c:axPos val="b"/>
        <c:delete val="0"/>
        <c:numFmt formatCode="General" sourceLinked="1"/>
        <c:majorTickMark val="out"/>
        <c:minorTickMark val="none"/>
        <c:tickLblPos val="nextTo"/>
        <c:spPr>
          <a:ln w="3175">
            <a:solidFill>
              <a:srgbClr val="000000"/>
            </a:solidFill>
          </a:ln>
        </c:spPr>
        <c:crossAx val="22992717"/>
        <c:crosses val="autoZero"/>
        <c:auto val="1"/>
        <c:lblOffset val="100"/>
        <c:tickLblSkip val="1"/>
        <c:noMultiLvlLbl val="0"/>
      </c:catAx>
      <c:valAx>
        <c:axId val="229927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35950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99"/>
              </a:solidFill>
            </c:spPr>
          </c:dPt>
          <c:dPt>
            <c:idx val="1"/>
            <c:invertIfNegative val="0"/>
            <c:spPr>
              <a:solidFill>
                <a:srgbClr val="99CCFF"/>
              </a:solidFill>
            </c:spPr>
          </c:dPt>
          <c:dPt>
            <c:idx val="2"/>
            <c:invertIfNegative val="0"/>
            <c:spPr>
              <a:solidFill>
                <a:srgbClr val="FFFF99"/>
              </a:solidFill>
            </c:spPr>
          </c:dPt>
          <c:cat>
            <c:strRef>
              <c:f>POAT!$C$119:$C$122</c:f>
              <c:strCache/>
            </c:strRef>
          </c:cat>
          <c:val>
            <c:numRef>
              <c:f>POAT!$D$119:$D$122</c:f>
              <c:numCache/>
            </c:numRef>
          </c:val>
        </c:ser>
        <c:axId val="18131598"/>
        <c:axId val="37703183"/>
      </c:barChart>
      <c:catAx>
        <c:axId val="18131598"/>
        <c:scaling>
          <c:orientation val="minMax"/>
        </c:scaling>
        <c:axPos val="b"/>
        <c:delete val="0"/>
        <c:numFmt formatCode="General" sourceLinked="1"/>
        <c:majorTickMark val="out"/>
        <c:minorTickMark val="none"/>
        <c:tickLblPos val="nextTo"/>
        <c:crossAx val="37703183"/>
        <c:crosses val="autoZero"/>
        <c:auto val="1"/>
        <c:lblOffset val="100"/>
        <c:noMultiLvlLbl val="0"/>
      </c:catAx>
      <c:valAx>
        <c:axId val="37703183"/>
        <c:scaling>
          <c:orientation val="minMax"/>
        </c:scaling>
        <c:axPos val="l"/>
        <c:majorGridlines/>
        <c:delete val="0"/>
        <c:numFmt formatCode="General" sourceLinked="1"/>
        <c:majorTickMark val="out"/>
        <c:minorTickMark val="none"/>
        <c:tickLblPos val="nextTo"/>
        <c:crossAx val="1813159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4625"/>
          <c:w val="0.97825"/>
          <c:h val="0.866"/>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a:ln w="12700">
                <a:solidFill>
                  <a:srgbClr val="000000"/>
                </a:solidFill>
              </a:ln>
            </c:spPr>
          </c:dPt>
          <c:dPt>
            <c:idx val="1"/>
            <c:invertIfNegative val="0"/>
            <c:spPr>
              <a:solidFill>
                <a:srgbClr val="99CCFF"/>
              </a:solidFill>
              <a:ln w="12700">
                <a:solidFill>
                  <a:srgbClr val="000000"/>
                </a:solidFill>
              </a:ln>
            </c:spPr>
          </c:dPt>
          <c:dPt>
            <c:idx val="2"/>
            <c:invertIfNegative val="0"/>
            <c:spPr>
              <a:solidFill>
                <a:srgbClr val="FFFF99"/>
              </a:solidFill>
              <a:ln w="12700">
                <a:solidFill>
                  <a:srgbClr val="000000"/>
                </a:solidFill>
              </a:ln>
            </c:spPr>
          </c:dPt>
          <c:dPt>
            <c:idx val="3"/>
            <c:invertIfNegative val="0"/>
            <c:spPr>
              <a:solidFill>
                <a:srgbClr val="33CCCC"/>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37%</a:t>
                    </a:r>
                  </a:p>
                </c:rich>
              </c:tx>
              <c:numFmt formatCode="General" sourceLinked="1"/>
              <c:spPr>
                <a:noFill/>
                <a:ln>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54%</a:t>
                    </a:r>
                  </a:p>
                </c:rich>
              </c:tx>
              <c:numFmt formatCode="General" sourceLinked="1"/>
              <c:spPr>
                <a:noFill/>
                <a:ln>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9%</a:t>
                    </a:r>
                  </a:p>
                </c:rich>
              </c:tx>
              <c:numFmt formatCode="General" sourceLinked="1"/>
              <c:spPr>
                <a:noFill/>
                <a:ln>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100%
</a:t>
                    </a:r>
                  </a:p>
                </c:rich>
              </c:tx>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cat>
            <c:strRef>
              <c:f>Centralizare!$B$3:$B$6</c:f>
              <c:strCache/>
            </c:strRef>
          </c:cat>
          <c:val>
            <c:numRef>
              <c:f>Centralizare!$C$3:$C$6</c:f>
              <c:numCache>
                <c:ptCount val="4"/>
                <c:pt idx="0">
                  <c:v>0</c:v>
                </c:pt>
                <c:pt idx="1">
                  <c:v>0</c:v>
                </c:pt>
                <c:pt idx="2">
                  <c:v>0</c:v>
                </c:pt>
                <c:pt idx="3">
                  <c:v>0</c:v>
                </c:pt>
              </c:numCache>
            </c:numRef>
          </c:val>
        </c:ser>
        <c:axId val="34787792"/>
        <c:axId val="46613969"/>
      </c:barChart>
      <c:catAx>
        <c:axId val="34787792"/>
        <c:scaling>
          <c:orientation val="minMax"/>
        </c:scaling>
        <c:axPos val="b"/>
        <c:delete val="0"/>
        <c:numFmt formatCode="General" sourceLinked="1"/>
        <c:majorTickMark val="out"/>
        <c:minorTickMark val="none"/>
        <c:tickLblPos val="nextTo"/>
        <c:spPr>
          <a:ln w="3175">
            <a:solidFill>
              <a:srgbClr val="000000"/>
            </a:solidFill>
          </a:ln>
        </c:spPr>
        <c:crossAx val="46613969"/>
        <c:crosses val="autoZero"/>
        <c:auto val="1"/>
        <c:lblOffset val="100"/>
        <c:tickLblSkip val="1"/>
        <c:noMultiLvlLbl val="0"/>
      </c:catAx>
      <c:valAx>
        <c:axId val="466139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7877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75"/>
          <c:w val="0.72975"/>
          <c:h val="0.92925"/>
        </c:manualLayout>
      </c:layout>
      <c:barChart>
        <c:barDir val="col"/>
        <c:grouping val="stacked"/>
        <c:varyColors val="0"/>
        <c:ser>
          <c:idx val="0"/>
          <c:order val="0"/>
          <c:tx>
            <c:strRef>
              <c:f>Centralizare!$C$17</c:f>
              <c:strCache>
                <c:ptCount val="1"/>
                <c:pt idx="0">
                  <c:v>Sprijin direct pentru implementarea PO</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Centralizare!$B$18:$B$24</c:f>
              <c:strCache/>
            </c:strRef>
          </c:cat>
          <c:val>
            <c:numRef>
              <c:f>Centralizare!$C$18:$C$24</c:f>
              <c:numCache/>
            </c:numRef>
          </c:val>
        </c:ser>
        <c:ser>
          <c:idx val="1"/>
          <c:order val="1"/>
          <c:tx>
            <c:strRef>
              <c:f>Centralizare!$D$17</c:f>
              <c:strCache>
                <c:ptCount val="1"/>
                <c:pt idx="0">
                  <c:v>Sprijin indirect pentru implementarea PO</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Centralizare!$B$18:$B$24</c:f>
              <c:strCache/>
            </c:strRef>
          </c:cat>
          <c:val>
            <c:numRef>
              <c:f>Centralizare!$D$18:$D$24</c:f>
              <c:numCache/>
            </c:numRef>
          </c:val>
        </c:ser>
        <c:ser>
          <c:idx val="2"/>
          <c:order val="2"/>
          <c:tx>
            <c:strRef>
              <c:f>Centralizare!$E$17</c:f>
              <c:strCache>
                <c:ptCount val="1"/>
                <c:pt idx="0">
                  <c:v>Informare si publicitate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Centralizare!$B$18:$B$24</c:f>
              <c:strCache/>
            </c:strRef>
          </c:cat>
          <c:val>
            <c:numRef>
              <c:f>Centralizare!$E$18:$E$24</c:f>
              <c:numCache/>
            </c:numRef>
          </c:val>
        </c:ser>
        <c:overlap val="100"/>
        <c:axId val="10009106"/>
        <c:axId val="46612115"/>
      </c:barChart>
      <c:catAx>
        <c:axId val="10009106"/>
        <c:scaling>
          <c:orientation val="minMax"/>
        </c:scaling>
        <c:axPos val="b"/>
        <c:delete val="0"/>
        <c:numFmt formatCode="General" sourceLinked="1"/>
        <c:majorTickMark val="out"/>
        <c:minorTickMark val="none"/>
        <c:tickLblPos val="nextTo"/>
        <c:spPr>
          <a:ln w="3175">
            <a:solidFill>
              <a:srgbClr val="000000"/>
            </a:solidFill>
          </a:ln>
        </c:spPr>
        <c:crossAx val="46612115"/>
        <c:crosses val="autoZero"/>
        <c:auto val="1"/>
        <c:lblOffset val="100"/>
        <c:tickLblSkip val="1"/>
        <c:noMultiLvlLbl val="0"/>
      </c:catAx>
      <c:valAx>
        <c:axId val="466121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009106"/>
        <c:crossesAt val="1"/>
        <c:crossBetween val="between"/>
        <c:dispUnits/>
      </c:valAx>
      <c:spPr>
        <a:solidFill>
          <a:srgbClr val="C0C0C0"/>
        </a:solidFill>
        <a:ln w="12700">
          <a:solidFill>
            <a:srgbClr val="808080"/>
          </a:solidFill>
        </a:ln>
      </c:spPr>
    </c:plotArea>
    <c:legend>
      <c:legendPos val="r"/>
      <c:layout>
        <c:manualLayout>
          <c:xMode val="edge"/>
          <c:yMode val="edge"/>
          <c:x val="0.74225"/>
          <c:y val="0.496"/>
          <c:w val="0.25775"/>
          <c:h val="0.30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95"/>
          <c:y val="0.2855"/>
          <c:w val="0.3595"/>
          <c:h val="0.4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'[2]POS CCE'!$B$123:$B$127</c:f>
              <c:strCache>
                <c:ptCount val="5"/>
                <c:pt idx="0">
                  <c:v>AM POS CCE</c:v>
                </c:pt>
                <c:pt idx="1">
                  <c:v>OI IMM</c:v>
                </c:pt>
                <c:pt idx="2">
                  <c:v>OIPSI</c:v>
                </c:pt>
                <c:pt idx="3">
                  <c:v>OI Cercetare</c:v>
                </c:pt>
                <c:pt idx="4">
                  <c:v>OI energie</c:v>
                </c:pt>
              </c:strCache>
            </c:strRef>
          </c:cat>
          <c:val>
            <c:numRef>
              <c:f>'[2]POS CCE'!$C$123:$C$127</c:f>
              <c:numCache>
                <c:ptCount val="5"/>
                <c:pt idx="0">
                  <c:v>13527522</c:v>
                </c:pt>
                <c:pt idx="1">
                  <c:v>13223560</c:v>
                </c:pt>
                <c:pt idx="2">
                  <c:v>10098065.272093024</c:v>
                </c:pt>
                <c:pt idx="3">
                  <c:v>8810000</c:v>
                </c:pt>
                <c:pt idx="4">
                  <c:v>8398973</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99"/>
              </a:solidFill>
            </c:spPr>
          </c:dP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cat>
            <c:strRef>
              <c:f>'POS CCE'!$B$97:$B$100</c:f>
              <c:strCache/>
            </c:strRef>
          </c:cat>
          <c:val>
            <c:numRef>
              <c:f>'POS CCE'!$C$97:$C$100</c:f>
              <c:numCache/>
            </c:numRef>
          </c:val>
        </c:ser>
        <c:axId val="33461374"/>
        <c:axId val="27505663"/>
      </c:barChart>
      <c:catAx>
        <c:axId val="33461374"/>
        <c:scaling>
          <c:orientation val="minMax"/>
        </c:scaling>
        <c:axPos val="b"/>
        <c:delete val="0"/>
        <c:numFmt formatCode="General" sourceLinked="1"/>
        <c:majorTickMark val="out"/>
        <c:minorTickMark val="none"/>
        <c:tickLblPos val="nextTo"/>
        <c:crossAx val="27505663"/>
        <c:crosses val="autoZero"/>
        <c:auto val="1"/>
        <c:lblOffset val="100"/>
        <c:noMultiLvlLbl val="0"/>
      </c:catAx>
      <c:valAx>
        <c:axId val="27505663"/>
        <c:scaling>
          <c:orientation val="minMax"/>
        </c:scaling>
        <c:axPos val="l"/>
        <c:majorGridlines/>
        <c:delete val="0"/>
        <c:numFmt formatCode="General" sourceLinked="1"/>
        <c:majorTickMark val="out"/>
        <c:minorTickMark val="none"/>
        <c:tickLblPos val="nextTo"/>
        <c:crossAx val="3346137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25"/>
          <c:y val="0.217"/>
          <c:w val="0.437"/>
          <c:h val="0.564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5"/>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1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'POS DRU'!$B$134:$B$145</c:f>
              <c:strCache/>
            </c:strRef>
          </c:cat>
          <c:val>
            <c:numRef>
              <c:f>'POS DRU'!$C$134:$C$145</c:f>
              <c:numCache/>
            </c:numRef>
          </c:val>
        </c:ser>
      </c:pieChart>
      <c:spPr>
        <a:noFill/>
        <a:ln>
          <a:noFill/>
        </a:ln>
      </c:spPr>
    </c:plotArea>
    <c:legend>
      <c:legendPos val="r"/>
      <c:layout>
        <c:manualLayout>
          <c:xMode val="edge"/>
          <c:yMode val="edge"/>
          <c:x val="0.62875"/>
          <c:y val="0.198"/>
          <c:w val="0.37125"/>
          <c:h val="0.603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99"/>
              </a:solidFill>
            </c:spPr>
          </c:dP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cat>
            <c:strRef>
              <c:f>'POS DRU'!$B$116:$B$119</c:f>
              <c:strCache/>
            </c:strRef>
          </c:cat>
          <c:val>
            <c:numRef>
              <c:f>'POS DRU'!$C$116:$C$119</c:f>
              <c:numCache/>
            </c:numRef>
          </c:val>
        </c:ser>
        <c:axId val="43037632"/>
        <c:axId val="45982657"/>
      </c:barChart>
      <c:catAx>
        <c:axId val="43037632"/>
        <c:scaling>
          <c:orientation val="minMax"/>
        </c:scaling>
        <c:axPos val="b"/>
        <c:delete val="0"/>
        <c:numFmt formatCode="General" sourceLinked="1"/>
        <c:majorTickMark val="out"/>
        <c:minorTickMark val="none"/>
        <c:tickLblPos val="nextTo"/>
        <c:crossAx val="45982657"/>
        <c:crosses val="autoZero"/>
        <c:auto val="1"/>
        <c:lblOffset val="100"/>
        <c:noMultiLvlLbl val="0"/>
      </c:catAx>
      <c:valAx>
        <c:axId val="45982657"/>
        <c:scaling>
          <c:orientation val="minMax"/>
        </c:scaling>
        <c:axPos val="l"/>
        <c:majorGridlines/>
        <c:delete val="0"/>
        <c:numFmt formatCode="General" sourceLinked="1"/>
        <c:majorTickMark val="out"/>
        <c:minorTickMark val="none"/>
        <c:tickLblPos val="nextTo"/>
        <c:crossAx val="4303763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FF"/>
              </a:solidFill>
              <a:ln w="12700">
                <a:solidFill>
                  <a:srgbClr val="000000"/>
                </a:solidFill>
              </a:ln>
            </c:spPr>
          </c:dPt>
          <c:dPt>
            <c:idx val="2"/>
            <c:invertIfNegative val="0"/>
            <c:spPr>
              <a:solidFill>
                <a:srgbClr val="FFFF99"/>
              </a:solidFill>
              <a:ln w="12700">
                <a:solidFill>
                  <a:srgbClr val="000000"/>
                </a:solidFill>
              </a:ln>
            </c:spPr>
          </c:dPt>
          <c:dPt>
            <c:idx val="3"/>
            <c:invertIfNegative val="0"/>
            <c:spPr>
              <a:solidFill>
                <a:srgbClr val="33CCCC"/>
              </a:solidFill>
              <a:ln w="12700">
                <a:solidFill>
                  <a:srgbClr val="000000"/>
                </a:solidFill>
              </a:ln>
            </c:spPr>
          </c:dPt>
          <c:cat>
            <c:strRef>
              <c:f>'[1]Prelucrare'!$A$65:$A$68</c:f>
              <c:strCache>
                <c:ptCount val="4"/>
                <c:pt idx="0">
                  <c:v>Sprijin direct pentru implementare PO</c:v>
                </c:pt>
                <c:pt idx="1">
                  <c:v>Sprijin indirect pentru implementare PO</c:v>
                </c:pt>
                <c:pt idx="2">
                  <c:v>Promovare şi publicitate</c:v>
                </c:pt>
                <c:pt idx="3">
                  <c:v>Total </c:v>
                </c:pt>
              </c:strCache>
            </c:strRef>
          </c:cat>
          <c:val>
            <c:numRef>
              <c:f>'[1]Prelucrare'!$B$65:$B$68</c:f>
              <c:numCache>
                <c:ptCount val="4"/>
                <c:pt idx="0">
                  <c:v>11956900</c:v>
                </c:pt>
                <c:pt idx="1">
                  <c:v>14398470</c:v>
                </c:pt>
                <c:pt idx="2">
                  <c:v>4364578</c:v>
                </c:pt>
                <c:pt idx="3">
                  <c:v>30719948</c:v>
                </c:pt>
              </c:numCache>
            </c:numRef>
          </c:val>
        </c:ser>
        <c:axId val="36082690"/>
        <c:axId val="63673475"/>
      </c:barChart>
      <c:catAx>
        <c:axId val="36082690"/>
        <c:scaling>
          <c:orientation val="minMax"/>
        </c:scaling>
        <c:axPos val="b"/>
        <c:delete val="0"/>
        <c:numFmt formatCode="General" sourceLinked="1"/>
        <c:majorTickMark val="out"/>
        <c:minorTickMark val="none"/>
        <c:tickLblPos val="nextTo"/>
        <c:spPr>
          <a:ln w="3175">
            <a:solidFill>
              <a:srgbClr val="000000"/>
            </a:solidFill>
          </a:ln>
        </c:spPr>
        <c:crossAx val="63673475"/>
        <c:crosses val="autoZero"/>
        <c:auto val="1"/>
        <c:lblOffset val="100"/>
        <c:tickLblSkip val="1"/>
        <c:noMultiLvlLbl val="0"/>
      </c:catAx>
      <c:valAx>
        <c:axId val="636734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0826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FF"/>
              </a:solidFill>
              <a:ln w="12700">
                <a:solidFill>
                  <a:srgbClr val="000000"/>
                </a:solidFill>
              </a:ln>
            </c:spPr>
          </c:dPt>
          <c:dPt>
            <c:idx val="2"/>
            <c:invertIfNegative val="0"/>
            <c:spPr>
              <a:solidFill>
                <a:srgbClr val="FFFF99"/>
              </a:solidFill>
              <a:ln w="12700">
                <a:solidFill>
                  <a:srgbClr val="000000"/>
                </a:solidFill>
              </a:ln>
            </c:spPr>
          </c:dPt>
          <c:dPt>
            <c:idx val="3"/>
            <c:invertIfNegative val="0"/>
            <c:spPr>
              <a:solidFill>
                <a:srgbClr val="33CCCC"/>
              </a:solidFill>
              <a:ln w="12700">
                <a:solidFill>
                  <a:srgbClr val="000000"/>
                </a:solidFill>
              </a:ln>
            </c:spPr>
          </c:dPt>
          <c:cat>
            <c:strRef>
              <c:f>'[1]Prelucrare'!$A$65:$A$68</c:f>
              <c:strCache>
                <c:ptCount val="4"/>
                <c:pt idx="0">
                  <c:v>Sprijin direct pentru implementare PO</c:v>
                </c:pt>
                <c:pt idx="1">
                  <c:v>Sprijin indirect pentru implementare PO</c:v>
                </c:pt>
                <c:pt idx="2">
                  <c:v>Promovare şi publicitate</c:v>
                </c:pt>
                <c:pt idx="3">
                  <c:v>Total </c:v>
                </c:pt>
              </c:strCache>
            </c:strRef>
          </c:cat>
          <c:val>
            <c:numRef>
              <c:f>'[1]Prelucrare'!$B$65:$B$68</c:f>
              <c:numCache>
                <c:ptCount val="4"/>
                <c:pt idx="0">
                  <c:v>11956900</c:v>
                </c:pt>
                <c:pt idx="1">
                  <c:v>14398470</c:v>
                </c:pt>
                <c:pt idx="2">
                  <c:v>4364578</c:v>
                </c:pt>
                <c:pt idx="3">
                  <c:v>30719948</c:v>
                </c:pt>
              </c:numCache>
            </c:numRef>
          </c:val>
        </c:ser>
        <c:axId val="45135172"/>
        <c:axId val="48105029"/>
      </c:barChart>
      <c:catAx>
        <c:axId val="45135172"/>
        <c:scaling>
          <c:orientation val="minMax"/>
        </c:scaling>
        <c:axPos val="b"/>
        <c:delete val="0"/>
        <c:numFmt formatCode="General" sourceLinked="1"/>
        <c:majorTickMark val="out"/>
        <c:minorTickMark val="none"/>
        <c:tickLblPos val="nextTo"/>
        <c:spPr>
          <a:ln w="3175">
            <a:solidFill>
              <a:srgbClr val="000000"/>
            </a:solidFill>
          </a:ln>
        </c:spPr>
        <c:crossAx val="48105029"/>
        <c:crosses val="autoZero"/>
        <c:auto val="1"/>
        <c:lblOffset val="100"/>
        <c:tickLblSkip val="2"/>
        <c:noMultiLvlLbl val="0"/>
      </c:catAx>
      <c:valAx>
        <c:axId val="481050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1351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925"/>
          <c:y val="0.16175"/>
          <c:w val="0.49225"/>
          <c:h val="0.67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POR!$B$156:$B$165</c:f>
              <c:strCache/>
            </c:strRef>
          </c:cat>
          <c:val>
            <c:numRef>
              <c:f>POR!$C$156:$C$165</c:f>
              <c:numCache/>
            </c:numRef>
          </c:val>
        </c:ser>
      </c:pieChart>
      <c:spPr>
        <a:noFill/>
        <a:ln>
          <a:noFill/>
        </a:ln>
      </c:spPr>
    </c:plotArea>
    <c:legend>
      <c:legendPos val="r"/>
      <c:layout>
        <c:manualLayout>
          <c:xMode val="edge"/>
          <c:yMode val="edge"/>
          <c:x val="0.7"/>
          <c:y val="0.17225"/>
          <c:w val="0.29725"/>
          <c:h val="0.6425"/>
        </c:manualLayout>
      </c:layout>
      <c:overlay val="0"/>
      <c:txPr>
        <a:bodyPr vert="horz" rot="0"/>
        <a:lstStyle/>
        <a:p>
          <a:pPr>
            <a:defRPr lang="en-US" cap="none" sz="55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99"/>
              </a:solidFill>
            </c:spPr>
          </c:dPt>
          <c:dPt>
            <c:idx val="1"/>
            <c:invertIfNegative val="0"/>
            <c:spPr>
              <a:solidFill>
                <a:srgbClr val="99CCFF"/>
              </a:solidFill>
            </c:spPr>
          </c:dPt>
          <c:dPt>
            <c:idx val="2"/>
            <c:invertIfNegative val="0"/>
            <c:spPr>
              <a:solidFill>
                <a:srgbClr val="FFFF99"/>
              </a:solidFill>
            </c:spPr>
          </c:dPt>
          <c:dPt>
            <c:idx val="3"/>
            <c:invertIfNegative val="0"/>
            <c:spPr>
              <a:solidFill>
                <a:srgbClr val="00CCFF"/>
              </a:solidFill>
            </c:spPr>
          </c:dPt>
          <c:cat>
            <c:strRef>
              <c:f>POR!$B$85:$B$88</c:f>
              <c:strCache/>
            </c:strRef>
          </c:cat>
          <c:val>
            <c:numRef>
              <c:f>POR!$D$85:$D$88</c:f>
              <c:numCache/>
            </c:numRef>
          </c:val>
        </c:ser>
        <c:axId val="39819142"/>
        <c:axId val="38107399"/>
      </c:barChart>
      <c:catAx>
        <c:axId val="39819142"/>
        <c:scaling>
          <c:orientation val="minMax"/>
        </c:scaling>
        <c:axPos val="b"/>
        <c:delete val="0"/>
        <c:numFmt formatCode="General" sourceLinked="1"/>
        <c:majorTickMark val="out"/>
        <c:minorTickMark val="none"/>
        <c:tickLblPos val="nextTo"/>
        <c:crossAx val="38107399"/>
        <c:crosses val="autoZero"/>
        <c:auto val="1"/>
        <c:lblOffset val="100"/>
        <c:noMultiLvlLbl val="0"/>
      </c:catAx>
      <c:valAx>
        <c:axId val="38107399"/>
        <c:scaling>
          <c:orientation val="minMax"/>
        </c:scaling>
        <c:axPos val="l"/>
        <c:majorGridlines/>
        <c:delete val="0"/>
        <c:numFmt formatCode="General" sourceLinked="1"/>
        <c:majorTickMark val="out"/>
        <c:minorTickMark val="none"/>
        <c:tickLblPos val="nextTo"/>
        <c:crossAx val="3981914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63</xdr:row>
      <xdr:rowOff>104775</xdr:rowOff>
    </xdr:from>
    <xdr:to>
      <xdr:col>13</xdr:col>
      <xdr:colOff>590550</xdr:colOff>
      <xdr:row>68</xdr:row>
      <xdr:rowOff>1352550</xdr:rowOff>
    </xdr:to>
    <xdr:graphicFrame>
      <xdr:nvGraphicFramePr>
        <xdr:cNvPr id="1" name="Chart 1"/>
        <xdr:cNvGraphicFramePr/>
      </xdr:nvGraphicFramePr>
      <xdr:xfrm>
        <a:off x="4286250" y="37395150"/>
        <a:ext cx="4981575" cy="3724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127</xdr:row>
      <xdr:rowOff>0</xdr:rowOff>
    </xdr:from>
    <xdr:to>
      <xdr:col>13</xdr:col>
      <xdr:colOff>381000</xdr:colOff>
      <xdr:row>143</xdr:row>
      <xdr:rowOff>104775</xdr:rowOff>
    </xdr:to>
    <xdr:graphicFrame>
      <xdr:nvGraphicFramePr>
        <xdr:cNvPr id="1" name="Chart 4"/>
        <xdr:cNvGraphicFramePr/>
      </xdr:nvGraphicFramePr>
      <xdr:xfrm>
        <a:off x="4819650" y="51816000"/>
        <a:ext cx="3676650" cy="2705100"/>
      </xdr:xfrm>
      <a:graphic>
        <a:graphicData uri="http://schemas.openxmlformats.org/drawingml/2006/chart">
          <c:chart xmlns:c="http://schemas.openxmlformats.org/drawingml/2006/chart" r:id="rId1"/>
        </a:graphicData>
      </a:graphic>
    </xdr:graphicFrame>
    <xdr:clientData/>
  </xdr:twoCellAnchor>
  <xdr:twoCellAnchor>
    <xdr:from>
      <xdr:col>3</xdr:col>
      <xdr:colOff>171450</xdr:colOff>
      <xdr:row>95</xdr:row>
      <xdr:rowOff>295275</xdr:rowOff>
    </xdr:from>
    <xdr:to>
      <xdr:col>13</xdr:col>
      <xdr:colOff>695325</xdr:colOff>
      <xdr:row>105</xdr:row>
      <xdr:rowOff>933450</xdr:rowOff>
    </xdr:to>
    <xdr:graphicFrame>
      <xdr:nvGraphicFramePr>
        <xdr:cNvPr id="2" name="Chart 10"/>
        <xdr:cNvGraphicFramePr/>
      </xdr:nvGraphicFramePr>
      <xdr:xfrm>
        <a:off x="4638675" y="40862250"/>
        <a:ext cx="4171950" cy="3705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131</xdr:row>
      <xdr:rowOff>0</xdr:rowOff>
    </xdr:from>
    <xdr:to>
      <xdr:col>14</xdr:col>
      <xdr:colOff>552450</xdr:colOff>
      <xdr:row>146</xdr:row>
      <xdr:rowOff>85725</xdr:rowOff>
    </xdr:to>
    <xdr:graphicFrame>
      <xdr:nvGraphicFramePr>
        <xdr:cNvPr id="1" name="Chart 3"/>
        <xdr:cNvGraphicFramePr/>
      </xdr:nvGraphicFramePr>
      <xdr:xfrm>
        <a:off x="4210050" y="88715850"/>
        <a:ext cx="4781550" cy="384810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115</xdr:row>
      <xdr:rowOff>9525</xdr:rowOff>
    </xdr:from>
    <xdr:to>
      <xdr:col>14</xdr:col>
      <xdr:colOff>523875</xdr:colOff>
      <xdr:row>119</xdr:row>
      <xdr:rowOff>1714500</xdr:rowOff>
    </xdr:to>
    <xdr:graphicFrame>
      <xdr:nvGraphicFramePr>
        <xdr:cNvPr id="2" name="Chart 7"/>
        <xdr:cNvGraphicFramePr/>
      </xdr:nvGraphicFramePr>
      <xdr:xfrm>
        <a:off x="4333875" y="81762600"/>
        <a:ext cx="4629150" cy="30194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68</xdr:row>
      <xdr:rowOff>28575</xdr:rowOff>
    </xdr:from>
    <xdr:to>
      <xdr:col>5</xdr:col>
      <xdr:colOff>0</xdr:colOff>
      <xdr:row>146</xdr:row>
      <xdr:rowOff>19050</xdr:rowOff>
    </xdr:to>
    <xdr:graphicFrame>
      <xdr:nvGraphicFramePr>
        <xdr:cNvPr id="1" name="Chart 2"/>
        <xdr:cNvGraphicFramePr/>
      </xdr:nvGraphicFramePr>
      <xdr:xfrm>
        <a:off x="4724400" y="28527375"/>
        <a:ext cx="0" cy="604647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84</xdr:row>
      <xdr:rowOff>28575</xdr:rowOff>
    </xdr:from>
    <xdr:to>
      <xdr:col>5</xdr:col>
      <xdr:colOff>0</xdr:colOff>
      <xdr:row>156</xdr:row>
      <xdr:rowOff>19050</xdr:rowOff>
    </xdr:to>
    <xdr:graphicFrame>
      <xdr:nvGraphicFramePr>
        <xdr:cNvPr id="2" name="Chart 2"/>
        <xdr:cNvGraphicFramePr/>
      </xdr:nvGraphicFramePr>
      <xdr:xfrm>
        <a:off x="4724400" y="37414200"/>
        <a:ext cx="0" cy="57683400"/>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154</xdr:row>
      <xdr:rowOff>28575</xdr:rowOff>
    </xdr:from>
    <xdr:to>
      <xdr:col>13</xdr:col>
      <xdr:colOff>800100</xdr:colOff>
      <xdr:row>173</xdr:row>
      <xdr:rowOff>152400</xdr:rowOff>
    </xdr:to>
    <xdr:graphicFrame>
      <xdr:nvGraphicFramePr>
        <xdr:cNvPr id="3" name="Chart 3"/>
        <xdr:cNvGraphicFramePr/>
      </xdr:nvGraphicFramePr>
      <xdr:xfrm>
        <a:off x="3686175" y="94735650"/>
        <a:ext cx="4400550" cy="360997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89</xdr:row>
      <xdr:rowOff>9525</xdr:rowOff>
    </xdr:from>
    <xdr:to>
      <xdr:col>6</xdr:col>
      <xdr:colOff>228600</xdr:colOff>
      <xdr:row>92</xdr:row>
      <xdr:rowOff>2457450</xdr:rowOff>
    </xdr:to>
    <xdr:graphicFrame>
      <xdr:nvGraphicFramePr>
        <xdr:cNvPr id="4" name="Chart 4"/>
        <xdr:cNvGraphicFramePr/>
      </xdr:nvGraphicFramePr>
      <xdr:xfrm>
        <a:off x="619125" y="39147750"/>
        <a:ext cx="4657725" cy="29337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32</xdr:row>
      <xdr:rowOff>742950</xdr:rowOff>
    </xdr:from>
    <xdr:to>
      <xdr:col>12</xdr:col>
      <xdr:colOff>1333500</xdr:colOff>
      <xdr:row>43</xdr:row>
      <xdr:rowOff>123825</xdr:rowOff>
    </xdr:to>
    <xdr:graphicFrame>
      <xdr:nvGraphicFramePr>
        <xdr:cNvPr id="1" name="Chart 2"/>
        <xdr:cNvGraphicFramePr/>
      </xdr:nvGraphicFramePr>
      <xdr:xfrm>
        <a:off x="4276725" y="13668375"/>
        <a:ext cx="4619625" cy="36099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0</xdr:rowOff>
    </xdr:from>
    <xdr:to>
      <xdr:col>1</xdr:col>
      <xdr:colOff>533400</xdr:colOff>
      <xdr:row>0</xdr:row>
      <xdr:rowOff>0</xdr:rowOff>
    </xdr:to>
    <xdr:graphicFrame>
      <xdr:nvGraphicFramePr>
        <xdr:cNvPr id="1" name="Chart 1"/>
        <xdr:cNvGraphicFramePr/>
      </xdr:nvGraphicFramePr>
      <xdr:xfrm>
        <a:off x="219075" y="0"/>
        <a:ext cx="2105025" cy="0"/>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70</xdr:row>
      <xdr:rowOff>152400</xdr:rowOff>
    </xdr:from>
    <xdr:to>
      <xdr:col>12</xdr:col>
      <xdr:colOff>1504950</xdr:colOff>
      <xdr:row>88</xdr:row>
      <xdr:rowOff>28575</xdr:rowOff>
    </xdr:to>
    <xdr:graphicFrame>
      <xdr:nvGraphicFramePr>
        <xdr:cNvPr id="2" name="Chart 34"/>
        <xdr:cNvGraphicFramePr/>
      </xdr:nvGraphicFramePr>
      <xdr:xfrm>
        <a:off x="3000375" y="79076550"/>
        <a:ext cx="4762500" cy="42576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122</xdr:row>
      <xdr:rowOff>352425</xdr:rowOff>
    </xdr:from>
    <xdr:to>
      <xdr:col>8</xdr:col>
      <xdr:colOff>152400</xdr:colOff>
      <xdr:row>138</xdr:row>
      <xdr:rowOff>9525</xdr:rowOff>
    </xdr:to>
    <xdr:graphicFrame>
      <xdr:nvGraphicFramePr>
        <xdr:cNvPr id="1" name="Chart 1"/>
        <xdr:cNvGraphicFramePr/>
      </xdr:nvGraphicFramePr>
      <xdr:xfrm>
        <a:off x="2171700" y="152942925"/>
        <a:ext cx="4124325" cy="2676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47625</xdr:rowOff>
    </xdr:from>
    <xdr:to>
      <xdr:col>5</xdr:col>
      <xdr:colOff>180975</xdr:colOff>
      <xdr:row>13</xdr:row>
      <xdr:rowOff>2095500</xdr:rowOff>
    </xdr:to>
    <xdr:graphicFrame>
      <xdr:nvGraphicFramePr>
        <xdr:cNvPr id="1" name="Chart 1"/>
        <xdr:cNvGraphicFramePr/>
      </xdr:nvGraphicFramePr>
      <xdr:xfrm flipV="1">
        <a:off x="619125" y="2219325"/>
        <a:ext cx="5114925" cy="3324225"/>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26</xdr:row>
      <xdr:rowOff>0</xdr:rowOff>
    </xdr:from>
    <xdr:to>
      <xdr:col>5</xdr:col>
      <xdr:colOff>866775</xdr:colOff>
      <xdr:row>48</xdr:row>
      <xdr:rowOff>0</xdr:rowOff>
    </xdr:to>
    <xdr:graphicFrame>
      <xdr:nvGraphicFramePr>
        <xdr:cNvPr id="2" name="Chart 3"/>
        <xdr:cNvGraphicFramePr/>
      </xdr:nvGraphicFramePr>
      <xdr:xfrm>
        <a:off x="752475" y="8058150"/>
        <a:ext cx="5667375" cy="3562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mcsccl2\Private\cristina.patrascoiu\My%20Documents\Crisa\POAT\Comitet%20Coordonare%20POAT\Strategie%20AT%202011-2015\Strategii%20Axe%20AT\POS%20Mediu\POS%20Mediu%202011%20-%20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Dell\LOCALS~1\Temp\Xl00000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csccl2\Private\Profiles\cristina.patrascoiu\Local%20Settings\Temporary%20Internet%20Files\OLK14\POS%20Transport\modificare%20conform%20PAAP%202011-plan%20indicativ%20proiecte%202011-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mcsccl2\Private\Profiles\cristina.patrascoiu\Local%20Settings\Temporary%20Internet%20Files\OLK14\POS%20Transport\Plan%20actiune%20AT%20POS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Profiles\cristina.patrascoiu\Local%20Settings\Temporary%20Internet%20Files\OLK14\POS%20Mediu\POS%20Mediu%202011%20-%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tial"/>
      <sheetName val="Prelucrare"/>
      <sheetName val="Sheet3"/>
    </sheetNames>
    <sheetDataSet>
      <sheetData sheetId="1">
        <row r="65">
          <cell r="A65" t="str">
            <v>Sprijin direct pentru implementare PO</v>
          </cell>
          <cell r="B65">
            <v>11956900</v>
          </cell>
        </row>
        <row r="66">
          <cell r="A66" t="str">
            <v>Sprijin indirect pentru implementare PO</v>
          </cell>
          <cell r="B66">
            <v>14398470</v>
          </cell>
        </row>
        <row r="67">
          <cell r="A67" t="str">
            <v>Promovare şi publicitate</v>
          </cell>
          <cell r="B67">
            <v>4364578</v>
          </cell>
        </row>
        <row r="68">
          <cell r="A68" t="str">
            <v>Total </v>
          </cell>
          <cell r="B68">
            <v>30719948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S Mediu"/>
      <sheetName val="POS CCE"/>
      <sheetName val="POS DRU"/>
      <sheetName val="AM POR 2011-2012"/>
      <sheetName val="POR "/>
      <sheetName val="PODCA"/>
      <sheetName val="POST"/>
      <sheetName val="POAT"/>
      <sheetName val="Centralizare"/>
    </sheetNames>
    <sheetDataSet>
      <sheetData sheetId="1">
        <row r="123">
          <cell r="B123" t="str">
            <v>AM POS CCE</v>
          </cell>
          <cell r="C123">
            <v>13527522</v>
          </cell>
        </row>
        <row r="124">
          <cell r="B124" t="str">
            <v>OI IMM</v>
          </cell>
          <cell r="C124">
            <v>13223560</v>
          </cell>
        </row>
        <row r="125">
          <cell r="B125" t="str">
            <v>OIPSI</v>
          </cell>
          <cell r="C125">
            <v>10098065.272093024</v>
          </cell>
        </row>
        <row r="126">
          <cell r="B126" t="str">
            <v>OI Cercetare</v>
          </cell>
          <cell r="C126">
            <v>8810000</v>
          </cell>
        </row>
        <row r="127">
          <cell r="B127" t="str">
            <v>OI energie</v>
          </cell>
          <cell r="C127">
            <v>8398973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 proiecte"/>
      <sheetName val="Grafic"/>
      <sheetName val="Sheet3"/>
    </sheetNames>
    <sheetDataSet>
      <sheetData sheetId="0">
        <row r="36">
          <cell r="B36">
            <v>21171258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 proiecte"/>
      <sheetName val="Prelucrare"/>
      <sheetName val="Sheet3"/>
    </sheetNames>
    <sheetDataSet>
      <sheetData sheetId="1">
        <row r="47">
          <cell r="A47" t="str">
            <v>Sprijin direct pentru implementare PO</v>
          </cell>
          <cell r="B47">
            <v>15332828</v>
          </cell>
        </row>
        <row r="48">
          <cell r="A48" t="str">
            <v>Sprijin indirect pentru implementare PO</v>
          </cell>
          <cell r="B48">
            <v>4723200</v>
          </cell>
        </row>
        <row r="49">
          <cell r="A49" t="str">
            <v>Promovare şi publicitate</v>
          </cell>
          <cell r="B49">
            <v>1115230</v>
          </cell>
        </row>
        <row r="50">
          <cell r="A50" t="str">
            <v>Total </v>
          </cell>
          <cell r="B50">
            <v>21171258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itial"/>
      <sheetName val="Prelucrare"/>
      <sheetName val="Sheet3"/>
    </sheetNames>
    <sheetDataSet>
      <sheetData sheetId="1">
        <row r="65">
          <cell r="A65" t="str">
            <v>Sprijin direct pentru implementare PO</v>
          </cell>
          <cell r="B65">
            <v>11956900</v>
          </cell>
        </row>
        <row r="66">
          <cell r="A66" t="str">
            <v>Sprijin indirect pentru implementare PO</v>
          </cell>
          <cell r="B66">
            <v>14398470</v>
          </cell>
        </row>
        <row r="67">
          <cell r="A67" t="str">
            <v>Promovare şi publicitate</v>
          </cell>
          <cell r="B67">
            <v>4364578</v>
          </cell>
        </row>
        <row r="68">
          <cell r="A68" t="str">
            <v>Total </v>
          </cell>
          <cell r="B68">
            <v>30719948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10"/>
  <sheetViews>
    <sheetView view="pageBreakPreview" zoomScale="80" zoomScaleSheetLayoutView="80" zoomScalePageLayoutView="0" workbookViewId="0" topLeftCell="A60">
      <selection activeCell="A69" sqref="A69"/>
    </sheetView>
  </sheetViews>
  <sheetFormatPr defaultColWidth="10.421875" defaultRowHeight="12.75"/>
  <cols>
    <col min="1" max="1" width="44.57421875" style="1" customWidth="1"/>
    <col min="2" max="2" width="14.8515625" style="4" customWidth="1"/>
    <col min="3" max="3" width="5.57421875" style="1" customWidth="1"/>
    <col min="4" max="4" width="5.28125" style="1" customWidth="1"/>
    <col min="5" max="5" width="5.57421875" style="1" customWidth="1"/>
    <col min="6" max="7" width="5.28125" style="1" customWidth="1"/>
    <col min="8" max="8" width="5.421875" style="1" customWidth="1"/>
    <col min="9" max="9" width="5.57421875" style="1" customWidth="1"/>
    <col min="10" max="10" width="5.28125" style="1" customWidth="1"/>
    <col min="11" max="12" width="5.421875" style="1" customWidth="1"/>
    <col min="13" max="13" width="16.57421875" style="1" customWidth="1"/>
    <col min="14" max="14" width="11.00390625" style="1" customWidth="1"/>
    <col min="15" max="16384" width="10.421875" style="1" customWidth="1"/>
  </cols>
  <sheetData>
    <row r="1" spans="1:14" ht="19.5" customHeight="1">
      <c r="A1" s="1035" t="s">
        <v>145</v>
      </c>
      <c r="B1" s="1035"/>
      <c r="C1" s="1035"/>
      <c r="D1" s="1035"/>
      <c r="E1" s="1035"/>
      <c r="F1" s="1035"/>
      <c r="G1" s="1035"/>
      <c r="H1" s="1035"/>
      <c r="I1" s="1035"/>
      <c r="J1" s="1035"/>
      <c r="K1" s="1035"/>
      <c r="L1" s="1035"/>
      <c r="M1" s="1034"/>
      <c r="N1" s="1034"/>
    </row>
    <row r="2" spans="1:14" ht="15.75">
      <c r="A2" s="1033" t="s">
        <v>444</v>
      </c>
      <c r="B2" s="1033"/>
      <c r="C2" s="1033"/>
      <c r="D2" s="1033"/>
      <c r="E2" s="1033"/>
      <c r="F2" s="1033"/>
      <c r="G2" s="1033"/>
      <c r="H2" s="1033"/>
      <c r="I2" s="1033"/>
      <c r="J2" s="1033"/>
      <c r="K2" s="1033"/>
      <c r="L2" s="1033"/>
      <c r="M2" s="1034"/>
      <c r="N2" s="1034"/>
    </row>
    <row r="3" spans="1:12" ht="27.75" customHeight="1">
      <c r="A3" s="1048" t="s">
        <v>443</v>
      </c>
      <c r="B3" s="1048"/>
      <c r="C3" s="1048"/>
      <c r="D3" s="1048"/>
      <c r="E3" s="1048"/>
      <c r="F3" s="1048"/>
      <c r="G3" s="1048"/>
      <c r="H3" s="1048"/>
      <c r="I3" s="1048"/>
      <c r="J3" s="1048"/>
      <c r="K3" s="1048"/>
      <c r="L3" s="1048"/>
    </row>
    <row r="4" spans="1:12" ht="23.25" customHeight="1" thickBot="1">
      <c r="A4" s="1051" t="s">
        <v>868</v>
      </c>
      <c r="B4" s="1051"/>
      <c r="C4" s="1051"/>
      <c r="D4" s="1051"/>
      <c r="E4" s="1051"/>
      <c r="F4" s="1051"/>
      <c r="G4" s="1051"/>
      <c r="H4" s="1051"/>
      <c r="I4" s="1051"/>
      <c r="J4" s="1051"/>
      <c r="K4" s="1051"/>
      <c r="L4" s="1051"/>
    </row>
    <row r="5" spans="1:14" ht="12.75" customHeight="1">
      <c r="A5" s="1059" t="s">
        <v>447</v>
      </c>
      <c r="B5" s="1054" t="s">
        <v>180</v>
      </c>
      <c r="C5" s="1049">
        <v>2011</v>
      </c>
      <c r="D5" s="1049"/>
      <c r="E5" s="1049">
        <v>2012</v>
      </c>
      <c r="F5" s="1049"/>
      <c r="G5" s="1049">
        <v>2013</v>
      </c>
      <c r="H5" s="1049"/>
      <c r="I5" s="1049">
        <v>2014</v>
      </c>
      <c r="J5" s="1049"/>
      <c r="K5" s="1049">
        <v>2015</v>
      </c>
      <c r="L5" s="1050"/>
      <c r="M5" s="1025" t="s">
        <v>515</v>
      </c>
      <c r="N5" s="1026"/>
    </row>
    <row r="6" spans="1:14" ht="15" customHeight="1">
      <c r="A6" s="1060"/>
      <c r="B6" s="1055"/>
      <c r="C6" s="1056" t="s">
        <v>182</v>
      </c>
      <c r="D6" s="1056" t="s">
        <v>181</v>
      </c>
      <c r="E6" s="1056" t="s">
        <v>182</v>
      </c>
      <c r="F6" s="1056" t="s">
        <v>181</v>
      </c>
      <c r="G6" s="1056" t="s">
        <v>182</v>
      </c>
      <c r="H6" s="1056" t="s">
        <v>181</v>
      </c>
      <c r="I6" s="1056" t="s">
        <v>182</v>
      </c>
      <c r="J6" s="1056" t="s">
        <v>181</v>
      </c>
      <c r="K6" s="1056" t="s">
        <v>182</v>
      </c>
      <c r="L6" s="1052" t="s">
        <v>181</v>
      </c>
      <c r="M6" s="1027"/>
      <c r="N6" s="1028"/>
    </row>
    <row r="7" spans="1:14" ht="21.75" customHeight="1">
      <c r="A7" s="5" t="s">
        <v>179</v>
      </c>
      <c r="B7" s="1055"/>
      <c r="C7" s="1057"/>
      <c r="D7" s="1057"/>
      <c r="E7" s="1057"/>
      <c r="F7" s="1057"/>
      <c r="G7" s="1057"/>
      <c r="H7" s="1057"/>
      <c r="I7" s="1057"/>
      <c r="J7" s="1057"/>
      <c r="K7" s="1057"/>
      <c r="L7" s="1053"/>
      <c r="M7" s="1029"/>
      <c r="N7" s="1030"/>
    </row>
    <row r="8" spans="1:14" s="9" customFormat="1" ht="81" customHeight="1">
      <c r="A8" s="586" t="s">
        <v>184</v>
      </c>
      <c r="B8" s="6">
        <v>2500000</v>
      </c>
      <c r="C8" s="11"/>
      <c r="D8" s="8"/>
      <c r="E8" s="8"/>
      <c r="F8" s="8"/>
      <c r="G8" s="8"/>
      <c r="H8" s="248"/>
      <c r="I8" s="10"/>
      <c r="J8" s="10"/>
      <c r="K8" s="10"/>
      <c r="L8" s="567"/>
      <c r="M8" s="577" t="s">
        <v>319</v>
      </c>
      <c r="N8" s="582"/>
    </row>
    <row r="9" spans="1:14" s="9" customFormat="1" ht="54.75" customHeight="1">
      <c r="A9" s="586" t="s">
        <v>185</v>
      </c>
      <c r="B9" s="6">
        <v>6300000</v>
      </c>
      <c r="C9" s="8"/>
      <c r="D9" s="8"/>
      <c r="E9" s="8"/>
      <c r="F9" s="8"/>
      <c r="G9" s="8"/>
      <c r="H9" s="8"/>
      <c r="I9" s="7"/>
      <c r="J9" s="7"/>
      <c r="K9" s="7"/>
      <c r="L9" s="568"/>
      <c r="M9" s="578" t="s">
        <v>719</v>
      </c>
      <c r="N9" s="582" t="s">
        <v>318</v>
      </c>
    </row>
    <row r="10" spans="1:14" s="9" customFormat="1" ht="79.5" customHeight="1">
      <c r="A10" s="586" t="s">
        <v>809</v>
      </c>
      <c r="B10" s="6">
        <v>97000</v>
      </c>
      <c r="C10" s="11"/>
      <c r="D10" s="8"/>
      <c r="E10" s="248"/>
      <c r="F10" s="10"/>
      <c r="G10" s="10"/>
      <c r="H10" s="10"/>
      <c r="I10" s="10"/>
      <c r="J10" s="10"/>
      <c r="K10" s="10"/>
      <c r="L10" s="567"/>
      <c r="M10" s="577" t="s">
        <v>320</v>
      </c>
      <c r="N10" s="582"/>
    </row>
    <row r="11" spans="1:14" s="9" customFormat="1" ht="81" customHeight="1">
      <c r="A11" s="586" t="s">
        <v>186</v>
      </c>
      <c r="B11" s="6">
        <v>74900</v>
      </c>
      <c r="C11" s="11"/>
      <c r="D11" s="8"/>
      <c r="E11" s="8"/>
      <c r="F11" s="11"/>
      <c r="G11" s="11"/>
      <c r="H11" s="11"/>
      <c r="I11" s="11"/>
      <c r="J11" s="11"/>
      <c r="K11" s="11"/>
      <c r="L11" s="569"/>
      <c r="M11" s="577" t="s">
        <v>319</v>
      </c>
      <c r="N11" s="582"/>
    </row>
    <row r="12" spans="1:14" s="9" customFormat="1" ht="55.5" customHeight="1">
      <c r="A12" s="586" t="s">
        <v>812</v>
      </c>
      <c r="B12" s="6">
        <v>1000000</v>
      </c>
      <c r="C12" s="11"/>
      <c r="D12" s="8"/>
      <c r="E12" s="8"/>
      <c r="F12" s="8"/>
      <c r="G12" s="8"/>
      <c r="H12" s="8"/>
      <c r="I12" s="11"/>
      <c r="J12" s="11"/>
      <c r="K12" s="11"/>
      <c r="L12" s="569"/>
      <c r="M12" s="578" t="s">
        <v>718</v>
      </c>
      <c r="N12" s="582"/>
    </row>
    <row r="13" spans="1:14" ht="28.5" customHeight="1" thickBot="1">
      <c r="A13" s="587" t="s">
        <v>446</v>
      </c>
      <c r="B13" s="588">
        <f>SUM(B8:B12)</f>
        <v>9971900</v>
      </c>
      <c r="C13" s="589"/>
      <c r="D13" s="589"/>
      <c r="E13" s="589"/>
      <c r="F13" s="589"/>
      <c r="G13" s="589"/>
      <c r="H13" s="589"/>
      <c r="I13" s="589"/>
      <c r="J13" s="589"/>
      <c r="K13" s="589"/>
      <c r="L13" s="590"/>
      <c r="M13" s="591"/>
      <c r="N13" s="592"/>
    </row>
    <row r="14" spans="1:14" ht="12.75" customHeight="1">
      <c r="A14" s="1061" t="s">
        <v>438</v>
      </c>
      <c r="B14" s="1063" t="s">
        <v>180</v>
      </c>
      <c r="C14" s="1058">
        <v>2011</v>
      </c>
      <c r="D14" s="1058"/>
      <c r="E14" s="1058">
        <v>2012</v>
      </c>
      <c r="F14" s="1058"/>
      <c r="G14" s="1058">
        <v>2013</v>
      </c>
      <c r="H14" s="1058"/>
      <c r="I14" s="1058">
        <v>2014</v>
      </c>
      <c r="J14" s="1058"/>
      <c r="K14" s="1058">
        <v>2015</v>
      </c>
      <c r="L14" s="1067"/>
      <c r="M14" s="1024" t="s">
        <v>515</v>
      </c>
      <c r="N14" s="1022"/>
    </row>
    <row r="15" spans="1:14" ht="15" customHeight="1">
      <c r="A15" s="1062"/>
      <c r="B15" s="1064"/>
      <c r="C15" s="1065" t="s">
        <v>182</v>
      </c>
      <c r="D15" s="1065" t="s">
        <v>181</v>
      </c>
      <c r="E15" s="1065" t="s">
        <v>182</v>
      </c>
      <c r="F15" s="1065" t="s">
        <v>181</v>
      </c>
      <c r="G15" s="1065" t="s">
        <v>182</v>
      </c>
      <c r="H15" s="1065" t="s">
        <v>181</v>
      </c>
      <c r="I15" s="1065" t="s">
        <v>182</v>
      </c>
      <c r="J15" s="1065" t="s">
        <v>181</v>
      </c>
      <c r="K15" s="1065" t="s">
        <v>182</v>
      </c>
      <c r="L15" s="1069" t="s">
        <v>181</v>
      </c>
      <c r="M15" s="1023"/>
      <c r="N15" s="1020"/>
    </row>
    <row r="16" spans="1:14" ht="16.5" customHeight="1">
      <c r="A16" s="15" t="s">
        <v>179</v>
      </c>
      <c r="B16" s="1064"/>
      <c r="C16" s="1065"/>
      <c r="D16" s="1065"/>
      <c r="E16" s="1065"/>
      <c r="F16" s="1065"/>
      <c r="G16" s="1065"/>
      <c r="H16" s="1065"/>
      <c r="I16" s="1065"/>
      <c r="J16" s="1065"/>
      <c r="K16" s="1065"/>
      <c r="L16" s="1069"/>
      <c r="M16" s="1021"/>
      <c r="N16" s="1047"/>
    </row>
    <row r="17" spans="1:14" s="9" customFormat="1" ht="109.5" customHeight="1">
      <c r="A17" s="593" t="s">
        <v>808</v>
      </c>
      <c r="B17" s="17">
        <v>285000</v>
      </c>
      <c r="C17" s="11"/>
      <c r="D17" s="8"/>
      <c r="E17" s="248"/>
      <c r="F17" s="7"/>
      <c r="G17" s="7"/>
      <c r="H17" s="7"/>
      <c r="I17" s="7"/>
      <c r="J17" s="7"/>
      <c r="K17" s="7"/>
      <c r="L17" s="568"/>
      <c r="M17" s="578" t="s">
        <v>720</v>
      </c>
      <c r="N17" s="582"/>
    </row>
    <row r="18" spans="1:14" ht="46.5" customHeight="1">
      <c r="A18" s="594" t="s">
        <v>711</v>
      </c>
      <c r="B18" s="17">
        <v>2500000</v>
      </c>
      <c r="C18" s="18"/>
      <c r="D18" s="19"/>
      <c r="E18" s="19"/>
      <c r="F18" s="19"/>
      <c r="G18" s="19"/>
      <c r="H18" s="18"/>
      <c r="I18" s="18"/>
      <c r="J18" s="18"/>
      <c r="K18" s="18"/>
      <c r="L18" s="570"/>
      <c r="M18" s="579" t="s">
        <v>718</v>
      </c>
      <c r="N18" s="583"/>
    </row>
    <row r="19" spans="1:14" ht="95.25" customHeight="1">
      <c r="A19" s="594" t="s">
        <v>715</v>
      </c>
      <c r="B19" s="17">
        <v>4000</v>
      </c>
      <c r="C19" s="18"/>
      <c r="D19" s="19"/>
      <c r="E19" s="19"/>
      <c r="F19" s="19"/>
      <c r="G19" s="19"/>
      <c r="H19" s="18"/>
      <c r="I19" s="18"/>
      <c r="J19" s="18"/>
      <c r="K19" s="18"/>
      <c r="L19" s="570"/>
      <c r="M19" s="579" t="s">
        <v>721</v>
      </c>
      <c r="N19" s="583"/>
    </row>
    <row r="20" spans="1:14" ht="96" customHeight="1">
      <c r="A20" s="595" t="s">
        <v>226</v>
      </c>
      <c r="B20" s="17">
        <v>229500</v>
      </c>
      <c r="C20" s="18"/>
      <c r="D20" s="19"/>
      <c r="E20" s="19"/>
      <c r="F20" s="19"/>
      <c r="G20" s="19"/>
      <c r="H20" s="19"/>
      <c r="I20" s="19"/>
      <c r="J20" s="19"/>
      <c r="K20" s="19"/>
      <c r="L20" s="571"/>
      <c r="M20" s="579" t="s">
        <v>721</v>
      </c>
      <c r="N20" s="583"/>
    </row>
    <row r="21" spans="1:14" ht="96" customHeight="1">
      <c r="A21" s="596" t="s">
        <v>227</v>
      </c>
      <c r="B21" s="17">
        <v>229500</v>
      </c>
      <c r="C21" s="18"/>
      <c r="D21" s="19"/>
      <c r="E21" s="19"/>
      <c r="F21" s="19"/>
      <c r="G21" s="19"/>
      <c r="H21" s="19"/>
      <c r="I21" s="19"/>
      <c r="J21" s="19"/>
      <c r="K21" s="19"/>
      <c r="L21" s="571"/>
      <c r="M21" s="579" t="s">
        <v>721</v>
      </c>
      <c r="N21" s="583"/>
    </row>
    <row r="22" spans="1:14" s="9" customFormat="1" ht="60" customHeight="1">
      <c r="A22" s="593" t="s">
        <v>188</v>
      </c>
      <c r="B22" s="17">
        <v>500000</v>
      </c>
      <c r="C22" s="11"/>
      <c r="D22" s="8"/>
      <c r="E22" s="248"/>
      <c r="F22" s="7"/>
      <c r="G22" s="7"/>
      <c r="H22" s="7"/>
      <c r="I22" s="7"/>
      <c r="J22" s="7"/>
      <c r="K22" s="7"/>
      <c r="L22" s="7"/>
      <c r="M22" s="577" t="s">
        <v>321</v>
      </c>
      <c r="N22" s="582"/>
    </row>
    <row r="23" spans="1:14" s="9" customFormat="1" ht="31.5" customHeight="1">
      <c r="A23" s="593" t="s">
        <v>702</v>
      </c>
      <c r="B23" s="17">
        <v>373000</v>
      </c>
      <c r="C23" s="11"/>
      <c r="D23" s="8"/>
      <c r="E23" s="248"/>
      <c r="F23" s="11"/>
      <c r="G23" s="11"/>
      <c r="H23" s="11"/>
      <c r="I23" s="7"/>
      <c r="J23" s="7"/>
      <c r="K23" s="11"/>
      <c r="L23" s="11"/>
      <c r="M23" s="578" t="s">
        <v>722</v>
      </c>
      <c r="N23" s="582"/>
    </row>
    <row r="24" spans="1:14" s="9" customFormat="1" ht="82.5" customHeight="1">
      <c r="A24" s="593" t="s">
        <v>712</v>
      </c>
      <c r="B24" s="17">
        <v>374508</v>
      </c>
      <c r="C24" s="11"/>
      <c r="D24" s="8"/>
      <c r="E24" s="8"/>
      <c r="F24" s="8"/>
      <c r="G24" s="11"/>
      <c r="H24" s="11"/>
      <c r="I24" s="11"/>
      <c r="J24" s="11"/>
      <c r="K24" s="11"/>
      <c r="L24" s="11"/>
      <c r="M24" s="577" t="s">
        <v>319</v>
      </c>
      <c r="N24" s="582"/>
    </row>
    <row r="25" spans="1:14" ht="33.75" customHeight="1">
      <c r="A25" s="595" t="s">
        <v>703</v>
      </c>
      <c r="B25" s="17">
        <v>316250</v>
      </c>
      <c r="C25" s="620"/>
      <c r="D25" s="620"/>
      <c r="E25" s="621"/>
      <c r="F25" s="621"/>
      <c r="G25" s="621"/>
      <c r="H25" s="622"/>
      <c r="I25" s="18"/>
      <c r="J25" s="18"/>
      <c r="K25" s="18"/>
      <c r="L25" s="18"/>
      <c r="M25" s="578" t="s">
        <v>719</v>
      </c>
      <c r="N25" s="584">
        <v>316250</v>
      </c>
    </row>
    <row r="26" spans="1:14" ht="30" customHeight="1">
      <c r="A26" s="595" t="s">
        <v>171</v>
      </c>
      <c r="B26" s="17">
        <v>14182.83</v>
      </c>
      <c r="C26" s="620"/>
      <c r="D26" s="620"/>
      <c r="E26" s="621"/>
      <c r="F26" s="621"/>
      <c r="G26" s="621"/>
      <c r="H26" s="622"/>
      <c r="I26" s="18"/>
      <c r="J26" s="18"/>
      <c r="K26" s="18"/>
      <c r="L26" s="18"/>
      <c r="M26" s="577" t="s">
        <v>723</v>
      </c>
      <c r="N26" s="599">
        <v>59567.89</v>
      </c>
    </row>
    <row r="27" spans="1:14" s="9" customFormat="1" ht="86.25" customHeight="1">
      <c r="A27" s="613" t="s">
        <v>189</v>
      </c>
      <c r="B27" s="614">
        <v>100000</v>
      </c>
      <c r="C27" s="615"/>
      <c r="D27" s="616"/>
      <c r="E27" s="617"/>
      <c r="F27" s="615"/>
      <c r="G27" s="615"/>
      <c r="H27" s="615"/>
      <c r="I27" s="615"/>
      <c r="J27" s="615"/>
      <c r="K27" s="615"/>
      <c r="L27" s="618"/>
      <c r="M27" s="577" t="s">
        <v>322</v>
      </c>
      <c r="N27" s="582"/>
    </row>
    <row r="28" spans="1:14" ht="83.25" customHeight="1">
      <c r="A28" s="596" t="s">
        <v>959</v>
      </c>
      <c r="B28" s="17">
        <v>50000</v>
      </c>
      <c r="C28" s="21"/>
      <c r="D28" s="22"/>
      <c r="E28" s="251"/>
      <c r="F28" s="21"/>
      <c r="G28" s="21"/>
      <c r="H28" s="21"/>
      <c r="I28" s="21"/>
      <c r="J28" s="21"/>
      <c r="K28" s="21"/>
      <c r="L28" s="572"/>
      <c r="M28" s="577" t="s">
        <v>322</v>
      </c>
      <c r="N28" s="583"/>
    </row>
    <row r="29" spans="1:14" ht="57.75" customHeight="1">
      <c r="A29" s="596" t="s">
        <v>714</v>
      </c>
      <c r="B29" s="17">
        <v>206220</v>
      </c>
      <c r="C29" s="21"/>
      <c r="D29" s="22"/>
      <c r="E29" s="251"/>
      <c r="F29" s="21"/>
      <c r="G29" s="21"/>
      <c r="H29" s="21"/>
      <c r="I29" s="21"/>
      <c r="J29" s="21"/>
      <c r="K29" s="21"/>
      <c r="L29" s="572"/>
      <c r="M29" s="577" t="s">
        <v>323</v>
      </c>
      <c r="N29" s="583"/>
    </row>
    <row r="30" spans="1:14" s="23" customFormat="1" ht="33.75" customHeight="1">
      <c r="A30" s="596" t="s">
        <v>713</v>
      </c>
      <c r="B30" s="17">
        <v>5000</v>
      </c>
      <c r="C30" s="21"/>
      <c r="D30" s="22"/>
      <c r="E30" s="251"/>
      <c r="F30" s="21"/>
      <c r="G30" s="21"/>
      <c r="H30" s="21"/>
      <c r="I30" s="21"/>
      <c r="J30" s="21"/>
      <c r="K30" s="21"/>
      <c r="L30" s="572"/>
      <c r="M30" s="581" t="s">
        <v>718</v>
      </c>
      <c r="N30" s="585"/>
    </row>
    <row r="31" spans="1:14" ht="33.75" customHeight="1">
      <c r="A31" s="596" t="s">
        <v>811</v>
      </c>
      <c r="B31" s="17">
        <v>650000</v>
      </c>
      <c r="C31" s="21"/>
      <c r="D31" s="22"/>
      <c r="E31" s="22"/>
      <c r="F31" s="21"/>
      <c r="G31" s="21"/>
      <c r="H31" s="21"/>
      <c r="I31" s="21"/>
      <c r="J31" s="21"/>
      <c r="K31" s="21"/>
      <c r="L31" s="572"/>
      <c r="M31" s="579" t="s">
        <v>718</v>
      </c>
      <c r="N31" s="583"/>
    </row>
    <row r="32" spans="1:14" ht="29.25" customHeight="1">
      <c r="A32" s="596" t="s">
        <v>960</v>
      </c>
      <c r="B32" s="17">
        <v>15000</v>
      </c>
      <c r="C32" s="22"/>
      <c r="D32" s="21"/>
      <c r="E32" s="21"/>
      <c r="F32" s="21"/>
      <c r="G32" s="21"/>
      <c r="H32" s="21"/>
      <c r="I32" s="21"/>
      <c r="J32" s="21"/>
      <c r="K32" s="21"/>
      <c r="L32" s="572"/>
      <c r="M32" s="579" t="s">
        <v>723</v>
      </c>
      <c r="N32" s="584">
        <v>41904</v>
      </c>
    </row>
    <row r="33" spans="1:14" ht="58.5" customHeight="1">
      <c r="A33" s="596" t="s">
        <v>963</v>
      </c>
      <c r="B33" s="17">
        <v>499000</v>
      </c>
      <c r="C33" s="22"/>
      <c r="D33" s="22"/>
      <c r="E33" s="22"/>
      <c r="F33" s="22"/>
      <c r="G33" s="22"/>
      <c r="H33" s="22"/>
      <c r="I33" s="21"/>
      <c r="J33" s="21"/>
      <c r="K33" s="21"/>
      <c r="L33" s="21"/>
      <c r="M33" s="579" t="s">
        <v>719</v>
      </c>
      <c r="N33" s="583"/>
    </row>
    <row r="34" spans="1:14" ht="84.75" customHeight="1">
      <c r="A34" s="595" t="s">
        <v>964</v>
      </c>
      <c r="B34" s="17">
        <v>2250000</v>
      </c>
      <c r="C34" s="18"/>
      <c r="D34" s="19"/>
      <c r="E34" s="19"/>
      <c r="F34" s="19"/>
      <c r="G34" s="19"/>
      <c r="H34" s="19"/>
      <c r="I34" s="19"/>
      <c r="J34" s="19"/>
      <c r="K34" s="19"/>
      <c r="L34" s="19"/>
      <c r="M34" s="579" t="s">
        <v>724</v>
      </c>
      <c r="N34" s="583"/>
    </row>
    <row r="35" spans="1:14" ht="45" customHeight="1">
      <c r="A35" s="596" t="s">
        <v>705</v>
      </c>
      <c r="B35" s="17">
        <v>192000</v>
      </c>
      <c r="C35" s="21"/>
      <c r="D35" s="22"/>
      <c r="E35" s="22"/>
      <c r="F35" s="22"/>
      <c r="G35" s="22"/>
      <c r="H35" s="22"/>
      <c r="I35" s="22"/>
      <c r="J35" s="21"/>
      <c r="K35" s="21"/>
      <c r="L35" s="572"/>
      <c r="M35" s="579" t="s">
        <v>718</v>
      </c>
      <c r="N35" s="583"/>
    </row>
    <row r="36" spans="1:14" ht="44.25" customHeight="1">
      <c r="A36" s="596" t="s">
        <v>810</v>
      </c>
      <c r="B36" s="17">
        <v>80000</v>
      </c>
      <c r="C36" s="21"/>
      <c r="D36" s="251"/>
      <c r="E36" s="21"/>
      <c r="F36" s="21"/>
      <c r="G36" s="21"/>
      <c r="H36" s="21"/>
      <c r="I36" s="21"/>
      <c r="J36" s="21"/>
      <c r="K36" s="21"/>
      <c r="L36" s="572"/>
      <c r="M36" s="579" t="s">
        <v>718</v>
      </c>
      <c r="N36" s="583"/>
    </row>
    <row r="37" spans="1:14" ht="45" customHeight="1">
      <c r="A37" s="595" t="s">
        <v>806</v>
      </c>
      <c r="B37" s="17">
        <v>192240</v>
      </c>
      <c r="C37" s="18"/>
      <c r="D37" s="19"/>
      <c r="E37" s="19"/>
      <c r="F37" s="19"/>
      <c r="G37" s="19"/>
      <c r="H37" s="19"/>
      <c r="I37" s="19"/>
      <c r="J37" s="19"/>
      <c r="K37" s="24"/>
      <c r="L37" s="573"/>
      <c r="M37" s="579" t="s">
        <v>718</v>
      </c>
      <c r="N37" s="583"/>
    </row>
    <row r="38" spans="1:14" ht="32.25" customHeight="1">
      <c r="A38" s="595" t="s">
        <v>965</v>
      </c>
      <c r="B38" s="17">
        <v>1980000</v>
      </c>
      <c r="C38" s="18"/>
      <c r="D38" s="19"/>
      <c r="E38" s="19"/>
      <c r="F38" s="19"/>
      <c r="G38" s="19"/>
      <c r="H38" s="19"/>
      <c r="I38" s="19"/>
      <c r="J38" s="19"/>
      <c r="K38" s="19"/>
      <c r="L38" s="571"/>
      <c r="M38" s="577" t="s">
        <v>324</v>
      </c>
      <c r="N38" s="584">
        <v>834000</v>
      </c>
    </row>
    <row r="39" spans="1:14" ht="31.5" customHeight="1">
      <c r="A39" s="595" t="s">
        <v>437</v>
      </c>
      <c r="B39" s="17">
        <v>562500</v>
      </c>
      <c r="C39" s="18"/>
      <c r="D39" s="19"/>
      <c r="E39" s="19"/>
      <c r="F39" s="19"/>
      <c r="G39" s="19"/>
      <c r="H39" s="19"/>
      <c r="I39" s="19"/>
      <c r="J39" s="19"/>
      <c r="K39" s="19"/>
      <c r="L39" s="571"/>
      <c r="M39" s="579" t="s">
        <v>719</v>
      </c>
      <c r="N39" s="583"/>
    </row>
    <row r="40" spans="1:14" ht="84.75" customHeight="1">
      <c r="A40" s="595" t="s">
        <v>966</v>
      </c>
      <c r="B40" s="17">
        <v>112500</v>
      </c>
      <c r="C40" s="18"/>
      <c r="D40" s="19"/>
      <c r="E40" s="19"/>
      <c r="F40" s="19"/>
      <c r="G40" s="19"/>
      <c r="H40" s="19"/>
      <c r="I40" s="19"/>
      <c r="J40" s="19"/>
      <c r="K40" s="19"/>
      <c r="L40" s="571"/>
      <c r="M40" s="579" t="s">
        <v>724</v>
      </c>
      <c r="N40" s="583"/>
    </row>
    <row r="41" spans="1:14" ht="85.5" customHeight="1">
      <c r="A41" s="595" t="s">
        <v>967</v>
      </c>
      <c r="B41" s="17">
        <v>15750</v>
      </c>
      <c r="C41" s="18"/>
      <c r="D41" s="19"/>
      <c r="E41" s="19"/>
      <c r="F41" s="19"/>
      <c r="G41" s="19"/>
      <c r="H41" s="19"/>
      <c r="I41" s="19"/>
      <c r="J41" s="19"/>
      <c r="K41" s="19"/>
      <c r="L41" s="571"/>
      <c r="M41" s="579" t="s">
        <v>724</v>
      </c>
      <c r="N41" s="583"/>
    </row>
    <row r="42" spans="1:14" ht="78.75" customHeight="1">
      <c r="A42" s="595" t="s">
        <v>223</v>
      </c>
      <c r="B42" s="17">
        <v>67500</v>
      </c>
      <c r="C42" s="18"/>
      <c r="D42" s="19"/>
      <c r="E42" s="19"/>
      <c r="F42" s="19"/>
      <c r="G42" s="19"/>
      <c r="H42" s="19"/>
      <c r="I42" s="19"/>
      <c r="J42" s="19"/>
      <c r="K42" s="19"/>
      <c r="L42" s="571"/>
      <c r="M42" s="579" t="s">
        <v>724</v>
      </c>
      <c r="N42" s="583"/>
    </row>
    <row r="43" spans="1:14" ht="82.5" customHeight="1">
      <c r="A43" s="595" t="s">
        <v>224</v>
      </c>
      <c r="B43" s="17">
        <v>405000</v>
      </c>
      <c r="C43" s="18"/>
      <c r="D43" s="19"/>
      <c r="E43" s="19"/>
      <c r="F43" s="19"/>
      <c r="G43" s="19"/>
      <c r="H43" s="19"/>
      <c r="I43" s="19"/>
      <c r="J43" s="249"/>
      <c r="K43" s="249"/>
      <c r="L43" s="574"/>
      <c r="M43" s="579" t="s">
        <v>724</v>
      </c>
      <c r="N43" s="583"/>
    </row>
    <row r="44" spans="1:14" ht="79.5" customHeight="1">
      <c r="A44" s="597" t="s">
        <v>710</v>
      </c>
      <c r="B44" s="258">
        <v>67500</v>
      </c>
      <c r="C44" s="13"/>
      <c r="D44" s="14"/>
      <c r="E44" s="14"/>
      <c r="F44" s="14"/>
      <c r="G44" s="14"/>
      <c r="H44" s="14"/>
      <c r="I44" s="14"/>
      <c r="J44" s="14"/>
      <c r="K44" s="261"/>
      <c r="L44" s="575"/>
      <c r="M44" s="577" t="s">
        <v>325</v>
      </c>
      <c r="N44" s="583"/>
    </row>
    <row r="45" spans="1:14" ht="30.75" customHeight="1">
      <c r="A45" s="597" t="s">
        <v>716</v>
      </c>
      <c r="B45" s="258">
        <v>790000</v>
      </c>
      <c r="C45" s="13"/>
      <c r="D45" s="14"/>
      <c r="E45" s="14"/>
      <c r="F45" s="14"/>
      <c r="G45" s="14"/>
      <c r="H45" s="14"/>
      <c r="I45" s="14"/>
      <c r="J45" s="14"/>
      <c r="K45" s="261"/>
      <c r="L45" s="575"/>
      <c r="M45" s="579" t="s">
        <v>718</v>
      </c>
      <c r="N45" s="583"/>
    </row>
    <row r="46" spans="1:14" ht="46.5" customHeight="1">
      <c r="A46" s="597" t="s">
        <v>315</v>
      </c>
      <c r="B46" s="258">
        <v>3961.33</v>
      </c>
      <c r="C46" s="13"/>
      <c r="D46" s="14"/>
      <c r="E46" s="13"/>
      <c r="F46" s="13"/>
      <c r="G46" s="13"/>
      <c r="H46" s="13"/>
      <c r="I46" s="13"/>
      <c r="J46" s="13"/>
      <c r="K46" s="261"/>
      <c r="L46" s="575"/>
      <c r="M46" s="579" t="s">
        <v>723</v>
      </c>
      <c r="N46" s="623" t="s">
        <v>317</v>
      </c>
    </row>
    <row r="47" spans="1:14" ht="47.25" customHeight="1">
      <c r="A47" s="597" t="s">
        <v>316</v>
      </c>
      <c r="B47" s="258">
        <v>14925.73</v>
      </c>
      <c r="C47" s="13"/>
      <c r="D47" s="14"/>
      <c r="E47" s="13"/>
      <c r="F47" s="13"/>
      <c r="G47" s="13"/>
      <c r="H47" s="13"/>
      <c r="I47" s="13"/>
      <c r="J47" s="13"/>
      <c r="K47" s="261"/>
      <c r="L47" s="575"/>
      <c r="M47" s="579" t="s">
        <v>723</v>
      </c>
      <c r="N47" s="584">
        <v>62777.58</v>
      </c>
    </row>
    <row r="48" spans="1:14" ht="46.5" customHeight="1">
      <c r="A48" s="598" t="s">
        <v>725</v>
      </c>
      <c r="B48" s="29">
        <v>3613.13</v>
      </c>
      <c r="C48" s="263"/>
      <c r="D48" s="262"/>
      <c r="E48" s="30"/>
      <c r="F48" s="30"/>
      <c r="G48" s="30"/>
      <c r="H48" s="30"/>
      <c r="I48" s="30"/>
      <c r="J48" s="30"/>
      <c r="K48" s="30"/>
      <c r="L48" s="576"/>
      <c r="M48" s="579" t="s">
        <v>723</v>
      </c>
      <c r="N48" s="584">
        <v>9154.1</v>
      </c>
    </row>
    <row r="49" spans="1:14" ht="27.75" customHeight="1" thickBot="1">
      <c r="A49" s="145" t="s">
        <v>448</v>
      </c>
      <c r="B49" s="600">
        <f>SUM(B17:B48)</f>
        <v>13088651.020000001</v>
      </c>
      <c r="C49" s="601"/>
      <c r="D49" s="601"/>
      <c r="E49" s="601"/>
      <c r="F49" s="601"/>
      <c r="G49" s="601"/>
      <c r="H49" s="601"/>
      <c r="I49" s="601"/>
      <c r="J49" s="601"/>
      <c r="K49" s="601"/>
      <c r="L49" s="602"/>
      <c r="M49" s="591"/>
      <c r="N49" s="592"/>
    </row>
    <row r="50" spans="1:14" ht="12.75" customHeight="1">
      <c r="A50" s="1081" t="s">
        <v>439</v>
      </c>
      <c r="B50" s="1071" t="s">
        <v>180</v>
      </c>
      <c r="C50" s="1068">
        <v>2011</v>
      </c>
      <c r="D50" s="1068"/>
      <c r="E50" s="1068">
        <v>2012</v>
      </c>
      <c r="F50" s="1068"/>
      <c r="G50" s="1068">
        <v>2013</v>
      </c>
      <c r="H50" s="1068"/>
      <c r="I50" s="1068">
        <v>2014</v>
      </c>
      <c r="J50" s="1068"/>
      <c r="K50" s="1068">
        <v>2015</v>
      </c>
      <c r="L50" s="1070"/>
      <c r="M50" s="1039" t="s">
        <v>515</v>
      </c>
      <c r="N50" s="1040"/>
    </row>
    <row r="51" spans="1:14" ht="12.75" customHeight="1">
      <c r="A51" s="1082"/>
      <c r="B51" s="1072"/>
      <c r="C51" s="1036" t="s">
        <v>182</v>
      </c>
      <c r="D51" s="1036" t="s">
        <v>181</v>
      </c>
      <c r="E51" s="1036" t="s">
        <v>182</v>
      </c>
      <c r="F51" s="1036" t="s">
        <v>181</v>
      </c>
      <c r="G51" s="1036" t="s">
        <v>182</v>
      </c>
      <c r="H51" s="1036" t="s">
        <v>181</v>
      </c>
      <c r="I51" s="1036" t="s">
        <v>182</v>
      </c>
      <c r="J51" s="1036" t="s">
        <v>181</v>
      </c>
      <c r="K51" s="1036" t="s">
        <v>182</v>
      </c>
      <c r="L51" s="1066" t="s">
        <v>181</v>
      </c>
      <c r="M51" s="1041"/>
      <c r="N51" s="1042"/>
    </row>
    <row r="52" spans="1:14" ht="17.25" customHeight="1">
      <c r="A52" s="31" t="s">
        <v>179</v>
      </c>
      <c r="B52" s="1072"/>
      <c r="C52" s="1036"/>
      <c r="D52" s="1036"/>
      <c r="E52" s="1036"/>
      <c r="F52" s="1036"/>
      <c r="G52" s="1036"/>
      <c r="H52" s="1036"/>
      <c r="I52" s="1036"/>
      <c r="J52" s="1036"/>
      <c r="K52" s="1036"/>
      <c r="L52" s="1066"/>
      <c r="M52" s="1043"/>
      <c r="N52" s="1044"/>
    </row>
    <row r="53" spans="1:14" ht="30" customHeight="1">
      <c r="A53" s="870" t="s">
        <v>228</v>
      </c>
      <c r="B53" s="32">
        <v>283411</v>
      </c>
      <c r="C53" s="33"/>
      <c r="D53" s="264"/>
      <c r="E53" s="264"/>
      <c r="F53" s="33"/>
      <c r="G53" s="33"/>
      <c r="H53" s="33"/>
      <c r="I53" s="33"/>
      <c r="J53" s="33"/>
      <c r="K53" s="33"/>
      <c r="L53" s="603"/>
      <c r="M53" s="579" t="s">
        <v>718</v>
      </c>
      <c r="N53" s="579"/>
    </row>
    <row r="54" spans="1:14" ht="30.75" customHeight="1">
      <c r="A54" s="195" t="s">
        <v>229</v>
      </c>
      <c r="B54" s="34">
        <v>248000</v>
      </c>
      <c r="C54" s="265"/>
      <c r="D54" s="247"/>
      <c r="E54" s="248"/>
      <c r="F54" s="11"/>
      <c r="G54" s="11"/>
      <c r="H54" s="11"/>
      <c r="I54" s="11"/>
      <c r="J54" s="11"/>
      <c r="K54" s="11"/>
      <c r="L54" s="569"/>
      <c r="M54" s="579" t="s">
        <v>719</v>
      </c>
      <c r="N54" s="580">
        <v>470708.95</v>
      </c>
    </row>
    <row r="55" spans="1:14" ht="29.25" customHeight="1">
      <c r="A55" s="195" t="s">
        <v>230</v>
      </c>
      <c r="B55" s="34">
        <v>65487</v>
      </c>
      <c r="C55" s="11"/>
      <c r="D55" s="11"/>
      <c r="E55" s="11"/>
      <c r="F55" s="11"/>
      <c r="G55" s="11"/>
      <c r="H55" s="11"/>
      <c r="I55" s="11"/>
      <c r="J55" s="11"/>
      <c r="K55" s="11"/>
      <c r="L55" s="569"/>
      <c r="M55" s="579" t="s">
        <v>719</v>
      </c>
      <c r="N55" s="580">
        <v>277010.01</v>
      </c>
    </row>
    <row r="56" spans="1:14" ht="30" customHeight="1">
      <c r="A56" s="195" t="s">
        <v>231</v>
      </c>
      <c r="B56" s="34">
        <v>146500</v>
      </c>
      <c r="C56" s="35"/>
      <c r="D56" s="35"/>
      <c r="E56" s="36"/>
      <c r="F56" s="36"/>
      <c r="G56" s="11"/>
      <c r="H56" s="11"/>
      <c r="I56" s="11"/>
      <c r="J56" s="11"/>
      <c r="K56" s="11"/>
      <c r="L56" s="569"/>
      <c r="M56" s="579" t="s">
        <v>719</v>
      </c>
      <c r="N56" s="580">
        <v>614800</v>
      </c>
    </row>
    <row r="57" spans="1:14" ht="56.25" customHeight="1">
      <c r="A57" s="195" t="s">
        <v>707</v>
      </c>
      <c r="B57" s="34">
        <v>124856</v>
      </c>
      <c r="C57" s="11"/>
      <c r="D57" s="247"/>
      <c r="E57" s="11"/>
      <c r="F57" s="11"/>
      <c r="G57" s="11"/>
      <c r="H57" s="11"/>
      <c r="I57" s="11"/>
      <c r="J57" s="11"/>
      <c r="K57" s="11"/>
      <c r="L57" s="569"/>
      <c r="M57" s="577" t="s">
        <v>326</v>
      </c>
      <c r="N57" s="579"/>
    </row>
    <row r="58" spans="1:14" ht="42.75" customHeight="1">
      <c r="A58" s="451" t="s">
        <v>706</v>
      </c>
      <c r="B58" s="34">
        <v>780000</v>
      </c>
      <c r="C58" s="37"/>
      <c r="D58" s="35"/>
      <c r="E58" s="36"/>
      <c r="F58" s="36"/>
      <c r="G58" s="38"/>
      <c r="H58" s="38"/>
      <c r="I58" s="38"/>
      <c r="J58" s="38"/>
      <c r="K58" s="38"/>
      <c r="L58" s="604"/>
      <c r="M58" s="579" t="s">
        <v>718</v>
      </c>
      <c r="N58" s="579"/>
    </row>
    <row r="59" spans="1:14" ht="30" customHeight="1">
      <c r="A59" s="451" t="s">
        <v>233</v>
      </c>
      <c r="B59" s="34">
        <v>500000</v>
      </c>
      <c r="C59" s="37"/>
      <c r="D59" s="35"/>
      <c r="E59" s="36"/>
      <c r="F59" s="36"/>
      <c r="G59" s="38"/>
      <c r="H59" s="38"/>
      <c r="I59" s="38"/>
      <c r="J59" s="38"/>
      <c r="K59" s="38"/>
      <c r="L59" s="604"/>
      <c r="M59" s="579" t="s">
        <v>718</v>
      </c>
      <c r="N59" s="579"/>
    </row>
    <row r="60" spans="1:14" ht="42.75" customHeight="1">
      <c r="A60" s="451" t="s">
        <v>234</v>
      </c>
      <c r="B60" s="34">
        <v>990650.42</v>
      </c>
      <c r="C60" s="40"/>
      <c r="D60" s="35"/>
      <c r="E60" s="36"/>
      <c r="F60" s="38"/>
      <c r="G60" s="38"/>
      <c r="H60" s="38"/>
      <c r="I60" s="38"/>
      <c r="J60" s="38"/>
      <c r="K60" s="38"/>
      <c r="L60" s="604"/>
      <c r="M60" s="579" t="s">
        <v>718</v>
      </c>
      <c r="N60" s="579"/>
    </row>
    <row r="61" spans="1:14" ht="24" customHeight="1" thickBot="1">
      <c r="A61" s="41" t="s">
        <v>441</v>
      </c>
      <c r="B61" s="42">
        <f>SUM(B53:B60)</f>
        <v>3138904.42</v>
      </c>
      <c r="C61" s="43"/>
      <c r="D61" s="43"/>
      <c r="E61" s="44"/>
      <c r="F61" s="44"/>
      <c r="G61" s="44"/>
      <c r="H61" s="44"/>
      <c r="I61" s="44"/>
      <c r="J61" s="44"/>
      <c r="K61" s="44"/>
      <c r="L61" s="605"/>
      <c r="M61" s="607"/>
      <c r="N61" s="607"/>
    </row>
    <row r="62" spans="1:14" ht="30.75" customHeight="1" thickBot="1">
      <c r="A62" s="45" t="s">
        <v>442</v>
      </c>
      <c r="B62" s="46">
        <f>B61+B49+B13</f>
        <v>26199455.44</v>
      </c>
      <c r="C62" s="47"/>
      <c r="D62" s="47"/>
      <c r="E62" s="48"/>
      <c r="F62" s="48"/>
      <c r="G62" s="48"/>
      <c r="H62" s="48"/>
      <c r="I62" s="48"/>
      <c r="J62" s="48"/>
      <c r="K62" s="48"/>
      <c r="L62" s="606"/>
      <c r="M62" s="608"/>
      <c r="N62" s="608"/>
    </row>
    <row r="63" spans="1:12" s="54" customFormat="1" ht="30.75" customHeight="1">
      <c r="A63" s="50"/>
      <c r="B63" s="51"/>
      <c r="C63" s="52"/>
      <c r="D63" s="52"/>
      <c r="E63" s="53"/>
      <c r="F63" s="53"/>
      <c r="G63" s="53"/>
      <c r="H63" s="53"/>
      <c r="I63" s="53"/>
      <c r="J63" s="53"/>
      <c r="K63" s="53"/>
      <c r="L63" s="53"/>
    </row>
    <row r="64" spans="1:12" s="54" customFormat="1" ht="97.5" customHeight="1" thickBot="1">
      <c r="A64" s="50"/>
      <c r="B64" s="51"/>
      <c r="C64" s="52"/>
      <c r="D64" s="52"/>
      <c r="E64" s="53"/>
      <c r="F64" s="53"/>
      <c r="G64" s="53"/>
      <c r="H64" s="53"/>
      <c r="I64" s="53"/>
      <c r="J64" s="53"/>
      <c r="K64" s="53"/>
      <c r="L64" s="53"/>
    </row>
    <row r="65" spans="1:2" ht="24.75" customHeight="1">
      <c r="A65" s="609" t="s">
        <v>175</v>
      </c>
      <c r="B65" s="215">
        <f>B13</f>
        <v>9971900</v>
      </c>
    </row>
    <row r="66" spans="1:2" ht="23.25" customHeight="1">
      <c r="A66" s="610" t="s">
        <v>176</v>
      </c>
      <c r="B66" s="2">
        <f>B49</f>
        <v>13088651.020000001</v>
      </c>
    </row>
    <row r="67" spans="1:2" ht="24" customHeight="1">
      <c r="A67" s="611" t="s">
        <v>177</v>
      </c>
      <c r="B67" s="3">
        <f>B61</f>
        <v>3138904.42</v>
      </c>
    </row>
    <row r="68" spans="1:2" ht="25.5" customHeight="1" thickBot="1">
      <c r="A68" s="612" t="s">
        <v>178</v>
      </c>
      <c r="B68" s="222">
        <f>SUM(B65:B67)</f>
        <v>26199455.440000005</v>
      </c>
    </row>
    <row r="69" spans="1:12" s="54" customFormat="1" ht="120" customHeight="1" thickBot="1">
      <c r="A69" s="50"/>
      <c r="B69" s="55"/>
      <c r="C69" s="52"/>
      <c r="D69" s="52"/>
      <c r="E69" s="53"/>
      <c r="F69" s="53"/>
      <c r="G69" s="53"/>
      <c r="H69" s="53"/>
      <c r="I69" s="53"/>
      <c r="J69" s="53"/>
      <c r="K69" s="53"/>
      <c r="L69" s="53"/>
    </row>
    <row r="70" spans="1:12" ht="18" customHeight="1">
      <c r="A70" s="1076" t="s">
        <v>179</v>
      </c>
      <c r="B70" s="1078" t="s">
        <v>180</v>
      </c>
      <c r="C70" s="1031">
        <v>2011</v>
      </c>
      <c r="D70" s="1031"/>
      <c r="E70" s="1031">
        <v>2012</v>
      </c>
      <c r="F70" s="1031"/>
      <c r="G70" s="1031">
        <v>2013</v>
      </c>
      <c r="H70" s="1031"/>
      <c r="I70" s="1031">
        <v>2014</v>
      </c>
      <c r="J70" s="1031"/>
      <c r="K70" s="1031">
        <v>2015</v>
      </c>
      <c r="L70" s="1032"/>
    </row>
    <row r="71" spans="1:12" ht="10.5" customHeight="1">
      <c r="A71" s="1077"/>
      <c r="B71" s="1079"/>
      <c r="C71" s="1037" t="s">
        <v>182</v>
      </c>
      <c r="D71" s="1037" t="s">
        <v>181</v>
      </c>
      <c r="E71" s="1037" t="s">
        <v>182</v>
      </c>
      <c r="F71" s="1037" t="s">
        <v>181</v>
      </c>
      <c r="G71" s="1037" t="s">
        <v>182</v>
      </c>
      <c r="H71" s="1037" t="s">
        <v>181</v>
      </c>
      <c r="I71" s="1037" t="s">
        <v>182</v>
      </c>
      <c r="J71" s="1037" t="s">
        <v>181</v>
      </c>
      <c r="K71" s="1037" t="s">
        <v>182</v>
      </c>
      <c r="L71" s="1045" t="s">
        <v>181</v>
      </c>
    </row>
    <row r="72" spans="1:12" ht="17.25" customHeight="1">
      <c r="A72" s="56" t="s">
        <v>445</v>
      </c>
      <c r="B72" s="1080"/>
      <c r="C72" s="1038"/>
      <c r="D72" s="1038"/>
      <c r="E72" s="1038"/>
      <c r="F72" s="1038"/>
      <c r="G72" s="1038"/>
      <c r="H72" s="1038"/>
      <c r="I72" s="1038"/>
      <c r="J72" s="1038"/>
      <c r="K72" s="1038"/>
      <c r="L72" s="1046"/>
    </row>
    <row r="73" spans="1:12" ht="25.5">
      <c r="A73" s="57" t="s">
        <v>228</v>
      </c>
      <c r="B73" s="58">
        <v>30996.63</v>
      </c>
      <c r="C73" s="59"/>
      <c r="D73" s="59"/>
      <c r="E73" s="59"/>
      <c r="F73" s="59"/>
      <c r="G73" s="59"/>
      <c r="H73" s="59"/>
      <c r="I73" s="59"/>
      <c r="J73" s="59"/>
      <c r="K73" s="59"/>
      <c r="L73" s="60"/>
    </row>
    <row r="74" spans="1:12" ht="54.75" customHeight="1" thickBot="1">
      <c r="A74" s="61" t="s">
        <v>962</v>
      </c>
      <c r="B74" s="62">
        <v>75000</v>
      </c>
      <c r="C74" s="63"/>
      <c r="D74" s="63"/>
      <c r="E74" s="63"/>
      <c r="F74" s="63"/>
      <c r="G74" s="63"/>
      <c r="H74" s="63"/>
      <c r="I74" s="63"/>
      <c r="J74" s="63"/>
      <c r="K74" s="63"/>
      <c r="L74" s="64"/>
    </row>
    <row r="75" spans="1:12" s="65" customFormat="1" ht="13.5" thickBot="1">
      <c r="A75" s="1001"/>
      <c r="B75" s="1002"/>
      <c r="C75" s="1001"/>
      <c r="D75" s="1001"/>
      <c r="E75" s="1001"/>
      <c r="F75" s="1001"/>
      <c r="G75" s="1001"/>
      <c r="H75" s="1001"/>
      <c r="I75" s="1001"/>
      <c r="J75" s="1001"/>
      <c r="K75" s="1001"/>
      <c r="L75" s="1001"/>
    </row>
    <row r="76" spans="1:12" ht="12.75" customHeight="1">
      <c r="A76" s="1086" t="s">
        <v>179</v>
      </c>
      <c r="B76" s="1088" t="s">
        <v>180</v>
      </c>
      <c r="C76" s="1075">
        <v>2011</v>
      </c>
      <c r="D76" s="1075"/>
      <c r="E76" s="1075">
        <v>2012</v>
      </c>
      <c r="F76" s="1075"/>
      <c r="G76" s="1075">
        <v>2013</v>
      </c>
      <c r="H76" s="1075"/>
      <c r="I76" s="1075">
        <v>2014</v>
      </c>
      <c r="J76" s="1075"/>
      <c r="K76" s="1075">
        <v>2015</v>
      </c>
      <c r="L76" s="1083"/>
    </row>
    <row r="77" spans="1:12" ht="12.75" customHeight="1">
      <c r="A77" s="1087"/>
      <c r="B77" s="1089"/>
      <c r="C77" s="1073" t="s">
        <v>182</v>
      </c>
      <c r="D77" s="1073" t="s">
        <v>181</v>
      </c>
      <c r="E77" s="1073" t="s">
        <v>182</v>
      </c>
      <c r="F77" s="1073" t="s">
        <v>181</v>
      </c>
      <c r="G77" s="1073" t="s">
        <v>182</v>
      </c>
      <c r="H77" s="1073" t="s">
        <v>181</v>
      </c>
      <c r="I77" s="1073" t="s">
        <v>182</v>
      </c>
      <c r="J77" s="1073" t="s">
        <v>181</v>
      </c>
      <c r="K77" s="1073" t="s">
        <v>182</v>
      </c>
      <c r="L77" s="1084" t="s">
        <v>181</v>
      </c>
    </row>
    <row r="78" spans="1:12" ht="27" customHeight="1">
      <c r="A78" s="66" t="s">
        <v>869</v>
      </c>
      <c r="B78" s="1090"/>
      <c r="C78" s="1074"/>
      <c r="D78" s="1074"/>
      <c r="E78" s="1074"/>
      <c r="F78" s="1074"/>
      <c r="G78" s="1074"/>
      <c r="H78" s="1074"/>
      <c r="I78" s="1074"/>
      <c r="J78" s="1074"/>
      <c r="K78" s="1074"/>
      <c r="L78" s="1085"/>
    </row>
    <row r="79" spans="1:12" s="9" customFormat="1" ht="12.75">
      <c r="A79" s="67" t="s">
        <v>232</v>
      </c>
      <c r="B79" s="68">
        <v>700000</v>
      </c>
      <c r="C79" s="11"/>
      <c r="D79" s="11"/>
      <c r="E79" s="11"/>
      <c r="F79" s="11"/>
      <c r="G79" s="8"/>
      <c r="H79" s="8"/>
      <c r="I79" s="8"/>
      <c r="J79" s="8"/>
      <c r="K79" s="8"/>
      <c r="L79" s="69"/>
    </row>
    <row r="80" spans="1:12" s="9" customFormat="1" ht="25.5">
      <c r="A80" s="67" t="s">
        <v>704</v>
      </c>
      <c r="B80" s="68">
        <v>225000</v>
      </c>
      <c r="C80" s="11"/>
      <c r="D80" s="11"/>
      <c r="E80" s="248"/>
      <c r="F80" s="248"/>
      <c r="G80" s="8"/>
      <c r="H80" s="8"/>
      <c r="I80" s="8"/>
      <c r="J80" s="8"/>
      <c r="K80" s="8"/>
      <c r="L80" s="69"/>
    </row>
    <row r="81" spans="1:12" s="9" customFormat="1" ht="25.5">
      <c r="A81" s="67" t="s">
        <v>717</v>
      </c>
      <c r="B81" s="68">
        <v>501770</v>
      </c>
      <c r="C81" s="11"/>
      <c r="D81" s="11"/>
      <c r="E81" s="248"/>
      <c r="F81" s="248"/>
      <c r="G81" s="8"/>
      <c r="H81" s="8"/>
      <c r="I81" s="259"/>
      <c r="J81" s="259"/>
      <c r="K81" s="259"/>
      <c r="L81" s="260"/>
    </row>
    <row r="82" spans="1:12" s="9" customFormat="1" ht="25.5">
      <c r="A82" s="67" t="s">
        <v>702</v>
      </c>
      <c r="B82" s="68">
        <v>900000</v>
      </c>
      <c r="C82" s="11"/>
      <c r="D82" s="11"/>
      <c r="E82" s="248"/>
      <c r="F82" s="248"/>
      <c r="G82" s="8"/>
      <c r="H82" s="8"/>
      <c r="I82" s="8"/>
      <c r="J82" s="8"/>
      <c r="K82" s="248"/>
      <c r="L82" s="250"/>
    </row>
    <row r="83" spans="1:12" s="9" customFormat="1" ht="25.5">
      <c r="A83" s="67" t="s">
        <v>961</v>
      </c>
      <c r="B83" s="68">
        <v>300000</v>
      </c>
      <c r="C83" s="11"/>
      <c r="D83" s="11"/>
      <c r="E83" s="248"/>
      <c r="F83" s="11"/>
      <c r="G83" s="11"/>
      <c r="H83" s="11"/>
      <c r="I83" s="11"/>
      <c r="J83" s="11"/>
      <c r="K83" s="11"/>
      <c r="L83" s="12"/>
    </row>
    <row r="84" spans="1:12" s="9" customFormat="1" ht="25.5">
      <c r="A84" s="67" t="s">
        <v>187</v>
      </c>
      <c r="B84" s="68">
        <v>150000</v>
      </c>
      <c r="C84" s="11"/>
      <c r="D84" s="11"/>
      <c r="E84" s="248"/>
      <c r="F84" s="259"/>
      <c r="G84" s="259"/>
      <c r="H84" s="259"/>
      <c r="I84" s="259"/>
      <c r="J84" s="259"/>
      <c r="K84" s="259"/>
      <c r="L84" s="260"/>
    </row>
    <row r="85" spans="1:12" s="9" customFormat="1" ht="25.5">
      <c r="A85" s="67" t="s">
        <v>807</v>
      </c>
      <c r="B85" s="68">
        <v>1500000</v>
      </c>
      <c r="C85" s="7"/>
      <c r="D85" s="7"/>
      <c r="E85" s="7"/>
      <c r="F85" s="7"/>
      <c r="G85" s="8"/>
      <c r="H85" s="8"/>
      <c r="I85" s="8"/>
      <c r="J85" s="8"/>
      <c r="K85" s="8"/>
      <c r="L85" s="69"/>
    </row>
    <row r="86" spans="1:12" ht="25.5">
      <c r="A86" s="67" t="s">
        <v>225</v>
      </c>
      <c r="B86" s="68">
        <v>400000</v>
      </c>
      <c r="C86" s="26"/>
      <c r="D86" s="26"/>
      <c r="E86" s="27"/>
      <c r="F86" s="27"/>
      <c r="G86" s="27"/>
      <c r="H86" s="27"/>
      <c r="I86" s="27"/>
      <c r="J86" s="27"/>
      <c r="K86" s="27"/>
      <c r="L86" s="28"/>
    </row>
    <row r="87" spans="1:12" s="9" customFormat="1" ht="12.75">
      <c r="A87" s="67" t="s">
        <v>183</v>
      </c>
      <c r="B87" s="68">
        <v>525000</v>
      </c>
      <c r="C87" s="11"/>
      <c r="D87" s="11"/>
      <c r="E87" s="11"/>
      <c r="F87" s="8"/>
      <c r="G87" s="8"/>
      <c r="H87" s="8"/>
      <c r="I87" s="8"/>
      <c r="J87" s="8"/>
      <c r="K87" s="8"/>
      <c r="L87" s="69"/>
    </row>
    <row r="88" spans="1:12" ht="38.25">
      <c r="A88" s="67" t="s">
        <v>235</v>
      </c>
      <c r="B88" s="68">
        <v>3000000</v>
      </c>
      <c r="C88" s="37"/>
      <c r="D88" s="37"/>
      <c r="E88" s="38"/>
      <c r="F88" s="36"/>
      <c r="G88" s="36"/>
      <c r="H88" s="70"/>
      <c r="I88" s="70"/>
      <c r="J88" s="38"/>
      <c r="K88" s="38"/>
      <c r="L88" s="39"/>
    </row>
    <row r="89" spans="1:12" ht="25.5">
      <c r="A89" s="67" t="s">
        <v>236</v>
      </c>
      <c r="B89" s="68">
        <v>500000</v>
      </c>
      <c r="C89" s="40"/>
      <c r="D89" s="40"/>
      <c r="E89" s="70"/>
      <c r="F89" s="70"/>
      <c r="G89" s="38"/>
      <c r="H89" s="255"/>
      <c r="I89" s="36"/>
      <c r="J89" s="36"/>
      <c r="K89" s="256"/>
      <c r="L89" s="39"/>
    </row>
    <row r="90" spans="1:12" ht="51">
      <c r="A90" s="67" t="s">
        <v>803</v>
      </c>
      <c r="B90" s="68">
        <v>500000</v>
      </c>
      <c r="C90" s="37"/>
      <c r="D90" s="37"/>
      <c r="E90" s="38"/>
      <c r="F90" s="38"/>
      <c r="G90" s="255"/>
      <c r="H90" s="36"/>
      <c r="I90" s="36"/>
      <c r="J90" s="256"/>
      <c r="K90" s="38"/>
      <c r="L90" s="39"/>
    </row>
    <row r="91" spans="1:12" ht="12.75">
      <c r="A91" s="67" t="s">
        <v>804</v>
      </c>
      <c r="B91" s="68">
        <v>3000000</v>
      </c>
      <c r="C91" s="71"/>
      <c r="D91" s="71"/>
      <c r="E91" s="72"/>
      <c r="F91" s="72"/>
      <c r="G91" s="72"/>
      <c r="H91" s="254"/>
      <c r="I91" s="73"/>
      <c r="J91" s="73"/>
      <c r="K91" s="252"/>
      <c r="L91" s="74"/>
    </row>
    <row r="92" spans="1:12" ht="38.25">
      <c r="A92" s="67" t="s">
        <v>806</v>
      </c>
      <c r="B92" s="68">
        <v>100000</v>
      </c>
      <c r="C92" s="71"/>
      <c r="D92" s="71"/>
      <c r="E92" s="72"/>
      <c r="F92" s="72"/>
      <c r="G92" s="72"/>
      <c r="H92" s="254"/>
      <c r="I92" s="254"/>
      <c r="J92" s="254"/>
      <c r="K92" s="252"/>
      <c r="L92" s="253"/>
    </row>
    <row r="93" spans="1:12" ht="25.5">
      <c r="A93" s="67" t="s">
        <v>805</v>
      </c>
      <c r="B93" s="68">
        <v>150000</v>
      </c>
      <c r="C93" s="71"/>
      <c r="D93" s="71"/>
      <c r="E93" s="72"/>
      <c r="F93" s="72"/>
      <c r="G93" s="72"/>
      <c r="H93" s="254"/>
      <c r="I93" s="254"/>
      <c r="J93" s="254"/>
      <c r="K93" s="252"/>
      <c r="L93" s="253"/>
    </row>
    <row r="94" spans="1:12" ht="25.5">
      <c r="A94" s="67" t="s">
        <v>171</v>
      </c>
      <c r="B94" s="68">
        <v>56000</v>
      </c>
      <c r="C94" s="71"/>
      <c r="D94" s="71"/>
      <c r="E94" s="257"/>
      <c r="F94" s="257"/>
      <c r="G94" s="257"/>
      <c r="H94" s="252"/>
      <c r="I94" s="252"/>
      <c r="J94" s="252"/>
      <c r="K94" s="252"/>
      <c r="L94" s="253"/>
    </row>
    <row r="95" spans="1:12" ht="25.5">
      <c r="A95" s="67" t="s">
        <v>713</v>
      </c>
      <c r="B95" s="68">
        <v>30000</v>
      </c>
      <c r="C95" s="71"/>
      <c r="D95" s="71"/>
      <c r="E95" s="257"/>
      <c r="F95" s="257"/>
      <c r="G95" s="257"/>
      <c r="H95" s="252"/>
      <c r="I95" s="252"/>
      <c r="J95" s="252"/>
      <c r="K95" s="252"/>
      <c r="L95" s="253"/>
    </row>
    <row r="96" spans="1:12" ht="12.75">
      <c r="A96" s="67" t="s">
        <v>708</v>
      </c>
      <c r="B96" s="68">
        <v>2250000</v>
      </c>
      <c r="C96" s="71"/>
      <c r="D96" s="71"/>
      <c r="E96" s="257"/>
      <c r="F96" s="257"/>
      <c r="G96" s="257"/>
      <c r="H96" s="252"/>
      <c r="I96" s="252"/>
      <c r="J96" s="252"/>
      <c r="K96" s="252"/>
      <c r="L96" s="253"/>
    </row>
    <row r="97" spans="1:12" ht="12.75">
      <c r="A97" s="67" t="s">
        <v>709</v>
      </c>
      <c r="B97" s="68">
        <v>2000000</v>
      </c>
      <c r="C97" s="71"/>
      <c r="D97" s="71"/>
      <c r="E97" s="257"/>
      <c r="F97" s="257"/>
      <c r="G97" s="257"/>
      <c r="H97" s="252"/>
      <c r="I97" s="252"/>
      <c r="J97" s="252"/>
      <c r="K97" s="252"/>
      <c r="L97" s="253"/>
    </row>
    <row r="98" spans="1:12" ht="18" customHeight="1" thickBot="1">
      <c r="A98" s="1000" t="s">
        <v>870</v>
      </c>
      <c r="B98" s="75">
        <f>SUM(B79:B97)</f>
        <v>16787770</v>
      </c>
      <c r="C98" s="76"/>
      <c r="D98" s="76"/>
      <c r="E98" s="76"/>
      <c r="F98" s="76"/>
      <c r="G98" s="76"/>
      <c r="H98" s="76"/>
      <c r="I98" s="76"/>
      <c r="J98" s="76"/>
      <c r="K98" s="76"/>
      <c r="L98" s="77"/>
    </row>
    <row r="99" ht="12.75">
      <c r="B99" s="78"/>
    </row>
    <row r="100" spans="1:2" ht="17.25" customHeight="1">
      <c r="A100" s="79" t="s">
        <v>440</v>
      </c>
      <c r="B100" s="80">
        <f>B98+B74+B73+B68</f>
        <v>43093222.07000001</v>
      </c>
    </row>
    <row r="108" ht="12.75">
      <c r="B108" s="81"/>
    </row>
    <row r="110" ht="12.75">
      <c r="B110" s="82"/>
    </row>
  </sheetData>
  <sheetProtection/>
  <mergeCells count="92">
    <mergeCell ref="A50:A51"/>
    <mergeCell ref="H77:H78"/>
    <mergeCell ref="I77:I78"/>
    <mergeCell ref="K76:L76"/>
    <mergeCell ref="J77:J78"/>
    <mergeCell ref="K77:K78"/>
    <mergeCell ref="L77:L78"/>
    <mergeCell ref="A76:A77"/>
    <mergeCell ref="B76:B78"/>
    <mergeCell ref="C76:D76"/>
    <mergeCell ref="C77:C78"/>
    <mergeCell ref="D77:D78"/>
    <mergeCell ref="E77:E78"/>
    <mergeCell ref="G76:H76"/>
    <mergeCell ref="A70:A71"/>
    <mergeCell ref="B70:B72"/>
    <mergeCell ref="I70:J70"/>
    <mergeCell ref="H71:H72"/>
    <mergeCell ref="G71:G72"/>
    <mergeCell ref="F71:F72"/>
    <mergeCell ref="E71:E72"/>
    <mergeCell ref="D71:D72"/>
    <mergeCell ref="E70:F70"/>
    <mergeCell ref="G70:H70"/>
    <mergeCell ref="J71:J72"/>
    <mergeCell ref="G77:G78"/>
    <mergeCell ref="E76:F76"/>
    <mergeCell ref="F77:F78"/>
    <mergeCell ref="I76:J76"/>
    <mergeCell ref="I14:J14"/>
    <mergeCell ref="K51:K52"/>
    <mergeCell ref="F51:F52"/>
    <mergeCell ref="G51:G52"/>
    <mergeCell ref="I51:I52"/>
    <mergeCell ref="J51:J52"/>
    <mergeCell ref="I15:I16"/>
    <mergeCell ref="J15:J16"/>
    <mergeCell ref="H15:H16"/>
    <mergeCell ref="E14:F14"/>
    <mergeCell ref="B50:B52"/>
    <mergeCell ref="C50:D50"/>
    <mergeCell ref="E50:F50"/>
    <mergeCell ref="H51:H52"/>
    <mergeCell ref="E15:E16"/>
    <mergeCell ref="F15:F16"/>
    <mergeCell ref="L51:L52"/>
    <mergeCell ref="K14:L14"/>
    <mergeCell ref="I50:J50"/>
    <mergeCell ref="G50:H50"/>
    <mergeCell ref="G15:G16"/>
    <mergeCell ref="L15:L16"/>
    <mergeCell ref="K50:L50"/>
    <mergeCell ref="K15:K16"/>
    <mergeCell ref="A14:A15"/>
    <mergeCell ref="B14:B16"/>
    <mergeCell ref="C15:C16"/>
    <mergeCell ref="D15:D16"/>
    <mergeCell ref="C14:D14"/>
    <mergeCell ref="G14:H14"/>
    <mergeCell ref="A5:A6"/>
    <mergeCell ref="K6:K7"/>
    <mergeCell ref="I6:I7"/>
    <mergeCell ref="G6:G7"/>
    <mergeCell ref="H6:H7"/>
    <mergeCell ref="C6:C7"/>
    <mergeCell ref="D6:D7"/>
    <mergeCell ref="E6:E7"/>
    <mergeCell ref="F6:F7"/>
    <mergeCell ref="L6:L7"/>
    <mergeCell ref="B5:B7"/>
    <mergeCell ref="C5:D5"/>
    <mergeCell ref="J6:J7"/>
    <mergeCell ref="A2:N2"/>
    <mergeCell ref="A1:N1"/>
    <mergeCell ref="M5:N7"/>
    <mergeCell ref="M14:N16"/>
    <mergeCell ref="A3:L3"/>
    <mergeCell ref="I5:J5"/>
    <mergeCell ref="K5:L5"/>
    <mergeCell ref="A4:L4"/>
    <mergeCell ref="E5:F5"/>
    <mergeCell ref="G5:H5"/>
    <mergeCell ref="C71:C72"/>
    <mergeCell ref="M50:N52"/>
    <mergeCell ref="L71:L72"/>
    <mergeCell ref="K71:K72"/>
    <mergeCell ref="I71:I72"/>
    <mergeCell ref="C51:C52"/>
    <mergeCell ref="D51:D52"/>
    <mergeCell ref="E51:E52"/>
    <mergeCell ref="K70:L70"/>
    <mergeCell ref="C70:D70"/>
  </mergeCells>
  <printOptions horizontalCentered="1"/>
  <pageMargins left="0.3937007874015748" right="0.3937007874015748" top="0.5118110236220472" bottom="0.6692913385826772" header="0.5118110236220472" footer="0.5118110236220472"/>
  <pageSetup horizontalDpi="600" verticalDpi="600" orientation="landscape" paperSize="9" r:id="rId2"/>
  <headerFooter alignWithMargins="0">
    <oddFooter>&amp;R&amp;P</oddFooter>
  </headerFooter>
  <rowBreaks count="5" manualBreakCount="5">
    <brk id="13" max="255" man="1"/>
    <brk id="49" max="255" man="1"/>
    <brk id="62" max="255" man="1"/>
    <brk id="69" max="255" man="1"/>
    <brk id="90" max="255" man="1"/>
  </rowBreaks>
  <drawing r:id="rId1"/>
</worksheet>
</file>

<file path=xl/worksheets/sheet2.xml><?xml version="1.0" encoding="utf-8"?>
<worksheet xmlns="http://schemas.openxmlformats.org/spreadsheetml/2006/main" xmlns:r="http://schemas.openxmlformats.org/officeDocument/2006/relationships">
  <dimension ref="A1:N133"/>
  <sheetViews>
    <sheetView view="pageBreakPreview" zoomScale="80" zoomScaleNormal="80" zoomScaleSheetLayoutView="80" zoomScalePageLayoutView="0" workbookViewId="0" topLeftCell="A92">
      <selection activeCell="B103" sqref="B103"/>
    </sheetView>
  </sheetViews>
  <sheetFormatPr defaultColWidth="9.140625" defaultRowHeight="12.75"/>
  <cols>
    <col min="1" max="1" width="10.28125" style="0" customWidth="1"/>
    <col min="2" max="2" width="42.00390625" style="0" customWidth="1"/>
    <col min="3" max="3" width="14.7109375" style="0" customWidth="1"/>
    <col min="4" max="4" width="5.28125" style="0" customWidth="1"/>
    <col min="5" max="5" width="5.57421875" style="0" customWidth="1"/>
    <col min="6" max="6" width="5.421875" style="0" customWidth="1"/>
    <col min="7" max="8" width="5.57421875" style="0" customWidth="1"/>
    <col min="9" max="9" width="5.28125" style="0" customWidth="1"/>
    <col min="10" max="10" width="5.57421875" style="0" customWidth="1"/>
    <col min="11" max="11" width="5.421875" style="0" customWidth="1"/>
    <col min="12" max="12" width="5.57421875" style="0" customWidth="1"/>
    <col min="13" max="13" width="5.421875" style="0" customWidth="1"/>
    <col min="14" max="14" width="15.57421875" style="0" customWidth="1"/>
    <col min="15" max="15" width="0.2890625" style="0" customWidth="1"/>
    <col min="16" max="22" width="9.140625" style="0" hidden="1" customWidth="1"/>
  </cols>
  <sheetData>
    <row r="1" spans="1:14" ht="18" customHeight="1">
      <c r="A1" s="1114" t="s">
        <v>146</v>
      </c>
      <c r="B1" s="1114"/>
      <c r="C1" s="1114"/>
      <c r="D1" s="1114"/>
      <c r="E1" s="1114"/>
      <c r="F1" s="1114"/>
      <c r="G1" s="1114"/>
      <c r="H1" s="1114"/>
      <c r="I1" s="1114"/>
      <c r="J1" s="1114"/>
      <c r="K1" s="1114"/>
      <c r="L1" s="1114"/>
      <c r="M1" s="1114"/>
      <c r="N1" s="1034"/>
    </row>
    <row r="2" spans="1:14" s="1" customFormat="1" ht="15.75">
      <c r="A2" s="1033" t="s">
        <v>650</v>
      </c>
      <c r="B2" s="1033"/>
      <c r="C2" s="1033"/>
      <c r="D2" s="1033"/>
      <c r="E2" s="1033"/>
      <c r="F2" s="1033"/>
      <c r="G2" s="1033"/>
      <c r="H2" s="1033"/>
      <c r="I2" s="1033"/>
      <c r="J2" s="1033"/>
      <c r="K2" s="1033"/>
      <c r="L2" s="1033"/>
      <c r="M2" s="1033"/>
      <c r="N2" s="1034"/>
    </row>
    <row r="3" spans="1:13" s="1" customFormat="1" ht="27.75" customHeight="1">
      <c r="A3" s="1048" t="s">
        <v>378</v>
      </c>
      <c r="B3" s="1048"/>
      <c r="C3" s="1048"/>
      <c r="D3" s="1048"/>
      <c r="E3" s="1048"/>
      <c r="F3" s="1048"/>
      <c r="G3" s="1048"/>
      <c r="H3" s="1048"/>
      <c r="I3" s="1048"/>
      <c r="J3" s="1048"/>
      <c r="K3" s="1048"/>
      <c r="L3" s="1048"/>
      <c r="M3" s="1048"/>
    </row>
    <row r="4" spans="1:13" s="1" customFormat="1" ht="23.25" customHeight="1" thickBot="1">
      <c r="A4" s="1132" t="s">
        <v>868</v>
      </c>
      <c r="B4" s="1132"/>
      <c r="C4" s="1132"/>
      <c r="D4" s="1132"/>
      <c r="E4" s="1132"/>
      <c r="F4" s="1132"/>
      <c r="G4" s="1132"/>
      <c r="H4" s="1132"/>
      <c r="I4" s="1132"/>
      <c r="J4" s="1132"/>
      <c r="K4" s="1132"/>
      <c r="L4" s="1132"/>
      <c r="M4" s="1132"/>
    </row>
    <row r="5" spans="1:14" ht="18.75" customHeight="1">
      <c r="A5" s="1059" t="s">
        <v>673</v>
      </c>
      <c r="B5" s="83" t="s">
        <v>671</v>
      </c>
      <c r="C5" s="1054" t="s">
        <v>180</v>
      </c>
      <c r="D5" s="1049">
        <v>2011</v>
      </c>
      <c r="E5" s="1049"/>
      <c r="F5" s="1049">
        <v>2012</v>
      </c>
      <c r="G5" s="1049"/>
      <c r="H5" s="1049">
        <v>2013</v>
      </c>
      <c r="I5" s="1049"/>
      <c r="J5" s="1049">
        <v>2014</v>
      </c>
      <c r="K5" s="1049"/>
      <c r="L5" s="1049">
        <v>2015</v>
      </c>
      <c r="M5" s="1120"/>
      <c r="N5" s="1117" t="s">
        <v>515</v>
      </c>
    </row>
    <row r="6" spans="1:14" ht="12.75" customHeight="1">
      <c r="A6" s="1060"/>
      <c r="B6" s="1129" t="s">
        <v>179</v>
      </c>
      <c r="C6" s="1055"/>
      <c r="D6" s="1056" t="s">
        <v>182</v>
      </c>
      <c r="E6" s="1056" t="s">
        <v>181</v>
      </c>
      <c r="F6" s="1056" t="s">
        <v>182</v>
      </c>
      <c r="G6" s="1056" t="s">
        <v>181</v>
      </c>
      <c r="H6" s="1056" t="s">
        <v>182</v>
      </c>
      <c r="I6" s="1056" t="s">
        <v>181</v>
      </c>
      <c r="J6" s="1131" t="s">
        <v>182</v>
      </c>
      <c r="K6" s="1131" t="s">
        <v>181</v>
      </c>
      <c r="L6" s="1131" t="s">
        <v>182</v>
      </c>
      <c r="M6" s="1131" t="s">
        <v>181</v>
      </c>
      <c r="N6" s="1118"/>
    </row>
    <row r="7" spans="1:14" ht="12.75">
      <c r="A7" s="1060"/>
      <c r="B7" s="1130"/>
      <c r="C7" s="1055"/>
      <c r="D7" s="1057"/>
      <c r="E7" s="1057"/>
      <c r="F7" s="1057"/>
      <c r="G7" s="1057"/>
      <c r="H7" s="1057"/>
      <c r="I7" s="1057"/>
      <c r="J7" s="1131"/>
      <c r="K7" s="1131"/>
      <c r="L7" s="1131"/>
      <c r="M7" s="1131"/>
      <c r="N7" s="1119"/>
    </row>
    <row r="8" spans="1:14" s="89" customFormat="1" ht="42" customHeight="1">
      <c r="A8" s="637" t="s">
        <v>672</v>
      </c>
      <c r="B8" s="640" t="s">
        <v>783</v>
      </c>
      <c r="C8" s="84">
        <v>376470</v>
      </c>
      <c r="D8" s="86"/>
      <c r="E8" s="86"/>
      <c r="F8" s="86"/>
      <c r="G8" s="85"/>
      <c r="H8" s="87"/>
      <c r="I8" s="87"/>
      <c r="J8" s="88"/>
      <c r="K8" s="88"/>
      <c r="L8" s="88"/>
      <c r="M8" s="624"/>
      <c r="N8" s="633" t="s">
        <v>379</v>
      </c>
    </row>
    <row r="9" spans="1:14" s="89" customFormat="1" ht="33" customHeight="1">
      <c r="A9" s="637" t="s">
        <v>672</v>
      </c>
      <c r="B9" s="641" t="s">
        <v>380</v>
      </c>
      <c r="C9" s="84">
        <v>405846</v>
      </c>
      <c r="D9" s="86"/>
      <c r="E9" s="86"/>
      <c r="F9" s="86"/>
      <c r="G9" s="85"/>
      <c r="H9" s="87"/>
      <c r="I9" s="87"/>
      <c r="J9" s="87"/>
      <c r="K9" s="87"/>
      <c r="L9" s="87"/>
      <c r="M9" s="625"/>
      <c r="N9" s="633" t="s">
        <v>381</v>
      </c>
    </row>
    <row r="10" spans="1:14" s="89" customFormat="1" ht="42.75" customHeight="1">
      <c r="A10" s="637" t="s">
        <v>672</v>
      </c>
      <c r="B10" s="641" t="s">
        <v>382</v>
      </c>
      <c r="C10" s="84">
        <v>200000</v>
      </c>
      <c r="D10" s="85"/>
      <c r="E10" s="85"/>
      <c r="F10" s="85"/>
      <c r="G10" s="86"/>
      <c r="H10" s="90"/>
      <c r="I10" s="90"/>
      <c r="J10" s="90"/>
      <c r="K10" s="87"/>
      <c r="L10" s="88"/>
      <c r="M10" s="624"/>
      <c r="N10" s="633" t="s">
        <v>383</v>
      </c>
    </row>
    <row r="11" spans="1:14" s="89" customFormat="1" ht="40.5" customHeight="1">
      <c r="A11" s="637" t="s">
        <v>672</v>
      </c>
      <c r="B11" s="641" t="s">
        <v>872</v>
      </c>
      <c r="C11" s="84">
        <v>184000</v>
      </c>
      <c r="D11" s="85"/>
      <c r="E11" s="86"/>
      <c r="F11" s="86"/>
      <c r="G11" s="86"/>
      <c r="H11" s="87"/>
      <c r="I11" s="87"/>
      <c r="J11" s="88"/>
      <c r="K11" s="88"/>
      <c r="L11" s="88"/>
      <c r="M11" s="624"/>
      <c r="N11" s="633" t="s">
        <v>384</v>
      </c>
    </row>
    <row r="12" spans="1:14" s="89" customFormat="1" ht="27" customHeight="1">
      <c r="A12" s="637" t="s">
        <v>672</v>
      </c>
      <c r="B12" s="641" t="s">
        <v>406</v>
      </c>
      <c r="C12" s="84">
        <v>292000</v>
      </c>
      <c r="D12" s="85"/>
      <c r="E12" s="86"/>
      <c r="F12" s="86"/>
      <c r="G12" s="86"/>
      <c r="H12" s="90"/>
      <c r="I12" s="87"/>
      <c r="J12" s="88"/>
      <c r="K12" s="88"/>
      <c r="L12" s="88"/>
      <c r="M12" s="624"/>
      <c r="N12" s="633" t="s">
        <v>385</v>
      </c>
    </row>
    <row r="13" spans="1:14" s="89" customFormat="1" ht="30" customHeight="1">
      <c r="A13" s="637" t="s">
        <v>672</v>
      </c>
      <c r="B13" s="641" t="s">
        <v>386</v>
      </c>
      <c r="C13" s="84">
        <v>14500</v>
      </c>
      <c r="D13" s="85"/>
      <c r="E13" s="86"/>
      <c r="F13" s="86"/>
      <c r="G13" s="86"/>
      <c r="H13" s="90"/>
      <c r="I13" s="87"/>
      <c r="J13" s="88"/>
      <c r="K13" s="88"/>
      <c r="L13" s="88"/>
      <c r="M13" s="624"/>
      <c r="N13" s="633" t="s">
        <v>385</v>
      </c>
    </row>
    <row r="14" spans="1:14" s="89" customFormat="1" ht="27.75" customHeight="1">
      <c r="A14" s="637" t="s">
        <v>672</v>
      </c>
      <c r="B14" s="641" t="s">
        <v>387</v>
      </c>
      <c r="C14" s="84">
        <v>17000</v>
      </c>
      <c r="D14" s="85"/>
      <c r="E14" s="86"/>
      <c r="F14" s="85"/>
      <c r="G14" s="85"/>
      <c r="H14" s="87"/>
      <c r="I14" s="87"/>
      <c r="J14" s="88"/>
      <c r="K14" s="88"/>
      <c r="L14" s="88"/>
      <c r="M14" s="624"/>
      <c r="N14" s="633" t="s">
        <v>388</v>
      </c>
    </row>
    <row r="15" spans="1:14" s="89" customFormat="1" ht="27" customHeight="1">
      <c r="A15" s="637" t="s">
        <v>672</v>
      </c>
      <c r="B15" s="641" t="s">
        <v>389</v>
      </c>
      <c r="C15" s="84">
        <v>2770450</v>
      </c>
      <c r="D15" s="85"/>
      <c r="E15" s="86"/>
      <c r="F15" s="86"/>
      <c r="G15" s="86"/>
      <c r="H15" s="90"/>
      <c r="I15" s="90"/>
      <c r="J15" s="90"/>
      <c r="K15" s="87"/>
      <c r="L15" s="88"/>
      <c r="M15" s="624"/>
      <c r="N15" s="633" t="s">
        <v>390</v>
      </c>
    </row>
    <row r="16" spans="1:14" s="89" customFormat="1" ht="30" customHeight="1">
      <c r="A16" s="637" t="s">
        <v>672</v>
      </c>
      <c r="B16" s="641" t="s">
        <v>405</v>
      </c>
      <c r="C16" s="84">
        <v>3350</v>
      </c>
      <c r="D16" s="85"/>
      <c r="E16" s="86"/>
      <c r="F16" s="86"/>
      <c r="G16" s="86"/>
      <c r="H16" s="90"/>
      <c r="I16" s="90"/>
      <c r="J16" s="90"/>
      <c r="K16" s="90"/>
      <c r="L16" s="88"/>
      <c r="M16" s="624"/>
      <c r="N16" s="633" t="s">
        <v>385</v>
      </c>
    </row>
    <row r="17" spans="1:14" s="89" customFormat="1" ht="41.25" customHeight="1">
      <c r="A17" s="637" t="s">
        <v>672</v>
      </c>
      <c r="B17" s="641" t="s">
        <v>780</v>
      </c>
      <c r="C17" s="84">
        <v>400000</v>
      </c>
      <c r="D17" s="209"/>
      <c r="E17" s="209"/>
      <c r="F17" s="86"/>
      <c r="G17" s="86"/>
      <c r="H17" s="90"/>
      <c r="I17" s="87"/>
      <c r="J17" s="87"/>
      <c r="K17" s="91"/>
      <c r="L17" s="88"/>
      <c r="M17" s="624"/>
      <c r="N17" s="633" t="s">
        <v>391</v>
      </c>
    </row>
    <row r="18" spans="1:14" ht="53.25" customHeight="1">
      <c r="A18" s="637" t="s">
        <v>680</v>
      </c>
      <c r="B18" s="640" t="s">
        <v>392</v>
      </c>
      <c r="C18" s="68">
        <v>314300</v>
      </c>
      <c r="D18" s="92"/>
      <c r="E18" s="92"/>
      <c r="F18" s="92"/>
      <c r="G18" s="92"/>
      <c r="H18" s="92"/>
      <c r="I18" s="92"/>
      <c r="J18" s="92"/>
      <c r="K18" s="93"/>
      <c r="L18" s="93"/>
      <c r="M18" s="626"/>
      <c r="N18" s="633" t="s">
        <v>393</v>
      </c>
    </row>
    <row r="19" spans="1:14" ht="44.25" customHeight="1">
      <c r="A19" s="637" t="s">
        <v>680</v>
      </c>
      <c r="B19" s="640" t="s">
        <v>674</v>
      </c>
      <c r="C19" s="68">
        <v>806400</v>
      </c>
      <c r="D19" s="92"/>
      <c r="E19" s="92"/>
      <c r="F19" s="92"/>
      <c r="G19" s="92"/>
      <c r="H19" s="92"/>
      <c r="I19" s="92"/>
      <c r="J19" s="92"/>
      <c r="K19" s="92"/>
      <c r="L19" s="92"/>
      <c r="M19" s="626"/>
      <c r="N19" s="633" t="s">
        <v>394</v>
      </c>
    </row>
    <row r="20" spans="1:14" ht="42" customHeight="1">
      <c r="A20" s="637" t="s">
        <v>680</v>
      </c>
      <c r="B20" s="640" t="s">
        <v>675</v>
      </c>
      <c r="C20" s="68">
        <v>431840</v>
      </c>
      <c r="D20" s="92"/>
      <c r="E20" s="92"/>
      <c r="F20" s="92"/>
      <c r="G20" s="92"/>
      <c r="H20" s="92"/>
      <c r="I20" s="92"/>
      <c r="J20" s="92"/>
      <c r="K20" s="92"/>
      <c r="L20" s="92"/>
      <c r="M20" s="627"/>
      <c r="N20" s="633" t="s">
        <v>395</v>
      </c>
    </row>
    <row r="21" spans="1:14" ht="19.5" customHeight="1">
      <c r="A21" s="637" t="s">
        <v>680</v>
      </c>
      <c r="B21" s="640" t="s">
        <v>396</v>
      </c>
      <c r="C21" s="68">
        <v>15200</v>
      </c>
      <c r="D21" s="92"/>
      <c r="E21" s="92"/>
      <c r="F21" s="92"/>
      <c r="G21" s="92"/>
      <c r="H21" s="92"/>
      <c r="I21" s="92"/>
      <c r="J21" s="92"/>
      <c r="K21" s="92"/>
      <c r="L21" s="92"/>
      <c r="M21" s="627"/>
      <c r="N21" s="634"/>
    </row>
    <row r="22" spans="1:14" ht="56.25" customHeight="1">
      <c r="A22" s="638" t="s">
        <v>680</v>
      </c>
      <c r="B22" s="642" t="s">
        <v>397</v>
      </c>
      <c r="C22" s="68">
        <v>690700</v>
      </c>
      <c r="D22" s="93"/>
      <c r="E22" s="93"/>
      <c r="F22" s="92"/>
      <c r="G22" s="92"/>
      <c r="H22" s="92"/>
      <c r="I22" s="92"/>
      <c r="J22" s="92"/>
      <c r="K22" s="92"/>
      <c r="L22" s="92"/>
      <c r="M22" s="627"/>
      <c r="N22" s="633" t="s">
        <v>398</v>
      </c>
    </row>
    <row r="23" spans="1:14" ht="81" customHeight="1">
      <c r="A23" s="637" t="s">
        <v>690</v>
      </c>
      <c r="B23" s="641" t="s">
        <v>399</v>
      </c>
      <c r="C23" s="6">
        <v>3348838</v>
      </c>
      <c r="D23" s="85"/>
      <c r="E23" s="86"/>
      <c r="F23" s="86"/>
      <c r="G23" s="86"/>
      <c r="H23" s="86"/>
      <c r="I23" s="86"/>
      <c r="J23" s="86"/>
      <c r="K23" s="86"/>
      <c r="L23" s="86"/>
      <c r="M23" s="628"/>
      <c r="N23" s="633" t="s">
        <v>400</v>
      </c>
    </row>
    <row r="24" spans="1:14" ht="80.25" customHeight="1">
      <c r="A24" s="637" t="s">
        <v>690</v>
      </c>
      <c r="B24" s="641" t="s">
        <v>401</v>
      </c>
      <c r="C24" s="6">
        <f>7920000/4.3</f>
        <v>1841860.4651162792</v>
      </c>
      <c r="D24" s="85"/>
      <c r="E24" s="86"/>
      <c r="F24" s="86"/>
      <c r="G24" s="86"/>
      <c r="H24" s="86"/>
      <c r="I24" s="86"/>
      <c r="J24" s="86"/>
      <c r="K24" s="86"/>
      <c r="L24" s="86"/>
      <c r="M24" s="628"/>
      <c r="N24" s="633" t="s">
        <v>400</v>
      </c>
    </row>
    <row r="25" spans="1:14" ht="29.25" customHeight="1">
      <c r="A25" s="637" t="s">
        <v>690</v>
      </c>
      <c r="B25" s="641" t="s">
        <v>402</v>
      </c>
      <c r="C25" s="6">
        <f>521008.4/4.3</f>
        <v>121164.74418604652</v>
      </c>
      <c r="D25" s="85"/>
      <c r="E25" s="86"/>
      <c r="F25" s="86"/>
      <c r="G25" s="86"/>
      <c r="H25" s="86"/>
      <c r="I25" s="86"/>
      <c r="J25" s="85"/>
      <c r="K25" s="85"/>
      <c r="L25" s="88"/>
      <c r="M25" s="624"/>
      <c r="N25" s="633" t="s">
        <v>403</v>
      </c>
    </row>
    <row r="26" spans="1:14" ht="81" customHeight="1">
      <c r="A26" s="637" t="s">
        <v>690</v>
      </c>
      <c r="B26" s="641" t="s">
        <v>681</v>
      </c>
      <c r="C26" s="6">
        <f>3729920/4.3</f>
        <v>867423.2558139535</v>
      </c>
      <c r="D26" s="85"/>
      <c r="E26" s="86"/>
      <c r="F26" s="86"/>
      <c r="G26" s="86"/>
      <c r="H26" s="87"/>
      <c r="I26" s="87"/>
      <c r="J26" s="88"/>
      <c r="K26" s="88"/>
      <c r="L26" s="88"/>
      <c r="M26" s="624"/>
      <c r="N26" s="633" t="s">
        <v>400</v>
      </c>
    </row>
    <row r="27" spans="1:14" ht="25.5">
      <c r="A27" s="637" t="s">
        <v>690</v>
      </c>
      <c r="B27" s="641" t="s">
        <v>404</v>
      </c>
      <c r="C27" s="6">
        <f>638844.87/4.3</f>
        <v>148568.57441860466</v>
      </c>
      <c r="D27" s="86"/>
      <c r="E27" s="86"/>
      <c r="F27" s="86"/>
      <c r="G27" s="86"/>
      <c r="H27" s="86"/>
      <c r="I27" s="86"/>
      <c r="J27" s="88"/>
      <c r="K27" s="88"/>
      <c r="L27" s="88"/>
      <c r="M27" s="624"/>
      <c r="N27" s="633" t="s">
        <v>403</v>
      </c>
    </row>
    <row r="28" spans="1:14" ht="42" customHeight="1">
      <c r="A28" s="637" t="s">
        <v>697</v>
      </c>
      <c r="B28" s="643" t="s">
        <v>692</v>
      </c>
      <c r="C28" s="94">
        <v>3000000</v>
      </c>
      <c r="D28" s="96"/>
      <c r="E28" s="96"/>
      <c r="F28" s="96"/>
      <c r="G28" s="96"/>
      <c r="H28" s="96"/>
      <c r="I28" s="96"/>
      <c r="J28" s="96"/>
      <c r="K28" s="96"/>
      <c r="L28" s="96"/>
      <c r="M28" s="629"/>
      <c r="N28" s="635" t="s">
        <v>855</v>
      </c>
    </row>
    <row r="29" spans="1:14" ht="42.75" customHeight="1">
      <c r="A29" s="637" t="s">
        <v>697</v>
      </c>
      <c r="B29" s="644" t="s">
        <v>856</v>
      </c>
      <c r="C29" s="6">
        <v>1300000</v>
      </c>
      <c r="D29" s="98"/>
      <c r="E29" s="98"/>
      <c r="F29" s="98"/>
      <c r="G29" s="86"/>
      <c r="H29" s="86"/>
      <c r="I29" s="86"/>
      <c r="J29" s="86"/>
      <c r="K29" s="86"/>
      <c r="L29" s="86"/>
      <c r="M29" s="628"/>
      <c r="N29" s="633" t="s">
        <v>855</v>
      </c>
    </row>
    <row r="30" spans="1:14" ht="44.25" customHeight="1">
      <c r="A30" s="637" t="s">
        <v>949</v>
      </c>
      <c r="B30" s="645" t="s">
        <v>698</v>
      </c>
      <c r="C30" s="298">
        <v>1300000</v>
      </c>
      <c r="D30" s="100"/>
      <c r="E30" s="100"/>
      <c r="F30" s="100"/>
      <c r="G30" s="102"/>
      <c r="H30" s="102"/>
      <c r="I30" s="102"/>
      <c r="J30" s="103"/>
      <c r="K30" s="103"/>
      <c r="L30" s="103"/>
      <c r="M30" s="630"/>
      <c r="N30" s="635" t="s">
        <v>855</v>
      </c>
    </row>
    <row r="31" spans="1:14" ht="42" customHeight="1">
      <c r="A31" s="637" t="s">
        <v>949</v>
      </c>
      <c r="B31" s="646" t="s">
        <v>857</v>
      </c>
      <c r="C31" s="299">
        <v>273498</v>
      </c>
      <c r="D31" s="100"/>
      <c r="E31" s="100"/>
      <c r="F31" s="100"/>
      <c r="G31" s="102"/>
      <c r="H31" s="102"/>
      <c r="I31" s="102"/>
      <c r="J31" s="103"/>
      <c r="K31" s="103"/>
      <c r="L31" s="103"/>
      <c r="M31" s="630"/>
      <c r="N31" s="635" t="s">
        <v>858</v>
      </c>
    </row>
    <row r="32" spans="1:14" ht="30" customHeight="1">
      <c r="A32" s="637" t="s">
        <v>949</v>
      </c>
      <c r="B32" s="641" t="s">
        <v>699</v>
      </c>
      <c r="C32" s="6">
        <v>244000</v>
      </c>
      <c r="D32" s="104"/>
      <c r="E32" s="100"/>
      <c r="F32" s="100"/>
      <c r="G32" s="100"/>
      <c r="H32" s="102"/>
      <c r="I32" s="102"/>
      <c r="J32" s="102"/>
      <c r="K32" s="102"/>
      <c r="L32" s="102"/>
      <c r="M32" s="631"/>
      <c r="N32" s="635" t="s">
        <v>859</v>
      </c>
    </row>
    <row r="33" spans="1:14" ht="28.5" customHeight="1">
      <c r="A33" s="637" t="s">
        <v>949</v>
      </c>
      <c r="B33" s="647" t="s">
        <v>860</v>
      </c>
      <c r="C33" s="6">
        <v>40380</v>
      </c>
      <c r="D33" s="104"/>
      <c r="E33" s="104"/>
      <c r="F33" s="100"/>
      <c r="G33" s="100"/>
      <c r="H33" s="102"/>
      <c r="I33" s="102"/>
      <c r="J33" s="103"/>
      <c r="K33" s="103"/>
      <c r="L33" s="103"/>
      <c r="M33" s="630"/>
      <c r="N33" s="635" t="s">
        <v>859</v>
      </c>
    </row>
    <row r="34" spans="1:14" ht="29.25" customHeight="1">
      <c r="A34" s="637" t="s">
        <v>949</v>
      </c>
      <c r="B34" s="647" t="s">
        <v>700</v>
      </c>
      <c r="C34" s="230">
        <v>80600</v>
      </c>
      <c r="D34" s="104"/>
      <c r="E34" s="104"/>
      <c r="F34" s="100"/>
      <c r="G34" s="100"/>
      <c r="H34" s="101"/>
      <c r="I34" s="102"/>
      <c r="J34" s="103"/>
      <c r="K34" s="103"/>
      <c r="L34" s="103"/>
      <c r="M34" s="630"/>
      <c r="N34" s="635" t="s">
        <v>859</v>
      </c>
    </row>
    <row r="35" spans="1:14" s="206" customFormat="1" ht="31.5" customHeight="1">
      <c r="A35" s="639" t="s">
        <v>949</v>
      </c>
      <c r="B35" s="648" t="s">
        <v>861</v>
      </c>
      <c r="C35" s="300">
        <v>14500</v>
      </c>
      <c r="D35" s="104"/>
      <c r="E35" s="104"/>
      <c r="F35" s="100"/>
      <c r="G35" s="100"/>
      <c r="H35" s="102"/>
      <c r="I35" s="102"/>
      <c r="J35" s="102"/>
      <c r="K35" s="102"/>
      <c r="L35" s="102"/>
      <c r="M35" s="631"/>
      <c r="N35" s="636" t="s">
        <v>862</v>
      </c>
    </row>
    <row r="36" spans="1:14" ht="30" customHeight="1">
      <c r="A36" s="637" t="s">
        <v>949</v>
      </c>
      <c r="B36" s="649" t="s">
        <v>863</v>
      </c>
      <c r="C36" s="301">
        <v>110495</v>
      </c>
      <c r="D36" s="100"/>
      <c r="E36" s="100"/>
      <c r="F36" s="100"/>
      <c r="G36" s="100"/>
      <c r="H36" s="102"/>
      <c r="I36" s="102"/>
      <c r="J36" s="102"/>
      <c r="K36" s="102"/>
      <c r="L36" s="102"/>
      <c r="M36" s="631"/>
      <c r="N36" s="635" t="s">
        <v>864</v>
      </c>
    </row>
    <row r="37" spans="1:14" s="108" customFormat="1" ht="33" customHeight="1" thickBot="1">
      <c r="A37" s="440"/>
      <c r="B37" s="105" t="s">
        <v>446</v>
      </c>
      <c r="C37" s="106">
        <f>SUM(C8:C36)</f>
        <v>19613384.03953488</v>
      </c>
      <c r="D37" s="107"/>
      <c r="E37" s="107"/>
      <c r="F37" s="107"/>
      <c r="G37" s="107"/>
      <c r="H37" s="107"/>
      <c r="I37" s="107"/>
      <c r="J37" s="107"/>
      <c r="K37" s="107"/>
      <c r="L37" s="107"/>
      <c r="M37" s="632"/>
      <c r="N37" s="704"/>
    </row>
    <row r="38" ht="12.75" hidden="1">
      <c r="B38" s="109"/>
    </row>
    <row r="39" ht="12.75" hidden="1">
      <c r="B39" s="109"/>
    </row>
    <row r="40" spans="1:14" ht="18.75" customHeight="1">
      <c r="A40" s="1094" t="s">
        <v>673</v>
      </c>
      <c r="B40" s="619" t="s">
        <v>438</v>
      </c>
      <c r="C40" s="1097" t="s">
        <v>180</v>
      </c>
      <c r="D40" s="1067">
        <v>2011</v>
      </c>
      <c r="E40" s="1100"/>
      <c r="F40" s="1067">
        <v>2012</v>
      </c>
      <c r="G40" s="1100"/>
      <c r="H40" s="1067">
        <v>2013</v>
      </c>
      <c r="I40" s="1100"/>
      <c r="J40" s="1067">
        <v>2014</v>
      </c>
      <c r="K40" s="1100"/>
      <c r="L40" s="1067">
        <v>2015</v>
      </c>
      <c r="M40" s="1128"/>
      <c r="N40" s="1117" t="s">
        <v>515</v>
      </c>
    </row>
    <row r="41" spans="1:14" ht="10.5" customHeight="1">
      <c r="A41" s="1095"/>
      <c r="B41" s="1101" t="s">
        <v>179</v>
      </c>
      <c r="C41" s="1098"/>
      <c r="D41" s="1103" t="s">
        <v>182</v>
      </c>
      <c r="E41" s="1103" t="s">
        <v>181</v>
      </c>
      <c r="F41" s="1103" t="s">
        <v>182</v>
      </c>
      <c r="G41" s="1103" t="s">
        <v>181</v>
      </c>
      <c r="H41" s="1103" t="s">
        <v>182</v>
      </c>
      <c r="I41" s="1103" t="s">
        <v>181</v>
      </c>
      <c r="J41" s="1103" t="s">
        <v>182</v>
      </c>
      <c r="K41" s="1103" t="s">
        <v>181</v>
      </c>
      <c r="L41" s="1103" t="s">
        <v>182</v>
      </c>
      <c r="M41" s="1108" t="s">
        <v>181</v>
      </c>
      <c r="N41" s="1118"/>
    </row>
    <row r="42" spans="1:14" ht="15" customHeight="1">
      <c r="A42" s="1096"/>
      <c r="B42" s="1102"/>
      <c r="C42" s="1099"/>
      <c r="D42" s="1104"/>
      <c r="E42" s="1104"/>
      <c r="F42" s="1104"/>
      <c r="G42" s="1104"/>
      <c r="H42" s="1104"/>
      <c r="I42" s="1104"/>
      <c r="J42" s="1104"/>
      <c r="K42" s="1104"/>
      <c r="L42" s="1104"/>
      <c r="M42" s="1109"/>
      <c r="N42" s="1119"/>
    </row>
    <row r="43" spans="1:14" s="89" customFormat="1" ht="28.5" customHeight="1">
      <c r="A43" s="112" t="s">
        <v>672</v>
      </c>
      <c r="B43" s="666" t="s">
        <v>871</v>
      </c>
      <c r="C43" s="113">
        <v>1300000</v>
      </c>
      <c r="D43" s="85"/>
      <c r="E43" s="85"/>
      <c r="F43" s="86"/>
      <c r="G43" s="302"/>
      <c r="H43" s="302"/>
      <c r="I43" s="302"/>
      <c r="J43" s="88"/>
      <c r="K43" s="88"/>
      <c r="L43" s="88"/>
      <c r="M43" s="624"/>
      <c r="N43" s="633" t="s">
        <v>865</v>
      </c>
    </row>
    <row r="44" spans="1:14" s="89" customFormat="1" ht="69" customHeight="1">
      <c r="A44" s="112" t="s">
        <v>672</v>
      </c>
      <c r="B44" s="666" t="s">
        <v>781</v>
      </c>
      <c r="C44" s="113">
        <v>88235</v>
      </c>
      <c r="D44" s="86"/>
      <c r="E44" s="86"/>
      <c r="F44" s="86"/>
      <c r="G44" s="86"/>
      <c r="H44" s="90"/>
      <c r="I44" s="90"/>
      <c r="J44" s="87"/>
      <c r="K44" s="87"/>
      <c r="L44" s="87"/>
      <c r="M44" s="625"/>
      <c r="N44" s="633" t="s">
        <v>866</v>
      </c>
    </row>
    <row r="45" spans="1:14" s="89" customFormat="1" ht="54" customHeight="1">
      <c r="A45" s="112" t="s">
        <v>672</v>
      </c>
      <c r="B45" s="666" t="s">
        <v>842</v>
      </c>
      <c r="C45" s="113">
        <v>400000</v>
      </c>
      <c r="D45" s="86"/>
      <c r="E45" s="86"/>
      <c r="F45" s="86"/>
      <c r="G45" s="86"/>
      <c r="H45" s="90"/>
      <c r="I45" s="90"/>
      <c r="J45" s="90"/>
      <c r="K45" s="114"/>
      <c r="L45" s="88"/>
      <c r="M45" s="624"/>
      <c r="N45" s="633" t="s">
        <v>866</v>
      </c>
    </row>
    <row r="46" spans="1:14" s="89" customFormat="1" ht="28.5" customHeight="1">
      <c r="A46" s="112" t="s">
        <v>672</v>
      </c>
      <c r="B46" s="666" t="s">
        <v>775</v>
      </c>
      <c r="C46" s="113">
        <v>100000</v>
      </c>
      <c r="D46" s="86"/>
      <c r="E46" s="86"/>
      <c r="F46" s="86"/>
      <c r="G46" s="86"/>
      <c r="H46" s="90"/>
      <c r="I46" s="90"/>
      <c r="J46" s="87"/>
      <c r="K46" s="91"/>
      <c r="L46" s="88"/>
      <c r="M46" s="624"/>
      <c r="N46" s="633" t="s">
        <v>388</v>
      </c>
    </row>
    <row r="47" spans="1:14" s="89" customFormat="1" ht="30.75" customHeight="1">
      <c r="A47" s="112" t="s">
        <v>672</v>
      </c>
      <c r="B47" s="666" t="s">
        <v>776</v>
      </c>
      <c r="C47" s="113">
        <v>300000</v>
      </c>
      <c r="D47" s="85"/>
      <c r="E47" s="86"/>
      <c r="F47" s="86"/>
      <c r="G47" s="86"/>
      <c r="H47" s="90"/>
      <c r="I47" s="90"/>
      <c r="J47" s="90"/>
      <c r="K47" s="91"/>
      <c r="L47" s="88"/>
      <c r="M47" s="624"/>
      <c r="N47" s="633" t="s">
        <v>867</v>
      </c>
    </row>
    <row r="48" spans="1:14" s="89" customFormat="1" ht="27" customHeight="1">
      <c r="A48" s="112" t="s">
        <v>672</v>
      </c>
      <c r="B48" s="666" t="s">
        <v>779</v>
      </c>
      <c r="C48" s="113">
        <v>250000</v>
      </c>
      <c r="D48" s="86"/>
      <c r="E48" s="86"/>
      <c r="F48" s="86"/>
      <c r="G48" s="86"/>
      <c r="H48" s="90"/>
      <c r="I48" s="90"/>
      <c r="J48" s="90"/>
      <c r="K48" s="114"/>
      <c r="L48" s="88"/>
      <c r="M48" s="624"/>
      <c r="N48" s="633" t="s">
        <v>260</v>
      </c>
    </row>
    <row r="49" spans="1:14" s="89" customFormat="1" ht="27.75" customHeight="1">
      <c r="A49" s="112" t="s">
        <v>672</v>
      </c>
      <c r="B49" s="666" t="s">
        <v>777</v>
      </c>
      <c r="C49" s="113">
        <v>1000000</v>
      </c>
      <c r="D49" s="85"/>
      <c r="E49" s="86"/>
      <c r="F49" s="86"/>
      <c r="G49" s="86"/>
      <c r="H49" s="90"/>
      <c r="I49" s="90"/>
      <c r="J49" s="87"/>
      <c r="K49" s="91"/>
      <c r="L49" s="88"/>
      <c r="M49" s="624"/>
      <c r="N49" s="633" t="s">
        <v>261</v>
      </c>
    </row>
    <row r="50" spans="1:14" ht="27.75" customHeight="1">
      <c r="A50" s="112" t="s">
        <v>672</v>
      </c>
      <c r="B50" s="666" t="s">
        <v>262</v>
      </c>
      <c r="C50" s="113">
        <v>15000</v>
      </c>
      <c r="D50" s="97"/>
      <c r="E50" s="97"/>
      <c r="F50" s="98"/>
      <c r="G50" s="86"/>
      <c r="H50" s="86"/>
      <c r="I50" s="86"/>
      <c r="J50" s="85"/>
      <c r="K50" s="85"/>
      <c r="L50" s="85"/>
      <c r="M50" s="650"/>
      <c r="N50" s="663" t="s">
        <v>263</v>
      </c>
    </row>
    <row r="51" spans="1:14" ht="33" customHeight="1">
      <c r="A51" s="112" t="s">
        <v>672</v>
      </c>
      <c r="B51" s="210" t="s">
        <v>264</v>
      </c>
      <c r="C51" s="25">
        <v>125000</v>
      </c>
      <c r="D51" s="115"/>
      <c r="E51" s="115"/>
      <c r="F51" s="115"/>
      <c r="G51" s="115"/>
      <c r="H51" s="115"/>
      <c r="I51" s="116"/>
      <c r="J51" s="116"/>
      <c r="K51" s="117"/>
      <c r="L51" s="117"/>
      <c r="M51" s="651"/>
      <c r="N51" s="633" t="s">
        <v>265</v>
      </c>
    </row>
    <row r="52" spans="1:14" ht="27.75" customHeight="1">
      <c r="A52" s="112" t="s">
        <v>672</v>
      </c>
      <c r="B52" s="210" t="s">
        <v>841</v>
      </c>
      <c r="C52" s="25">
        <v>150000</v>
      </c>
      <c r="D52" s="116"/>
      <c r="E52" s="115"/>
      <c r="F52" s="115"/>
      <c r="G52" s="119"/>
      <c r="H52" s="116"/>
      <c r="I52" s="115"/>
      <c r="J52" s="116"/>
      <c r="K52" s="117"/>
      <c r="L52" s="117"/>
      <c r="M52" s="651"/>
      <c r="N52" s="635"/>
    </row>
    <row r="53" spans="1:14" ht="20.25" customHeight="1">
      <c r="A53" s="112" t="s">
        <v>680</v>
      </c>
      <c r="B53" s="667" t="s">
        <v>676</v>
      </c>
      <c r="C53" s="68">
        <v>6700</v>
      </c>
      <c r="D53" s="92"/>
      <c r="E53" s="92"/>
      <c r="F53" s="92"/>
      <c r="G53" s="92"/>
      <c r="H53" s="92"/>
      <c r="I53" s="92"/>
      <c r="J53" s="92"/>
      <c r="K53" s="92"/>
      <c r="L53" s="92"/>
      <c r="M53" s="627"/>
      <c r="N53" s="633" t="s">
        <v>266</v>
      </c>
    </row>
    <row r="54" spans="1:14" ht="29.25" customHeight="1">
      <c r="A54" s="112" t="s">
        <v>680</v>
      </c>
      <c r="B54" s="668" t="s">
        <v>267</v>
      </c>
      <c r="C54" s="68">
        <v>9620</v>
      </c>
      <c r="D54" s="92"/>
      <c r="E54" s="92"/>
      <c r="F54" s="92"/>
      <c r="G54" s="92"/>
      <c r="H54" s="92"/>
      <c r="I54" s="92"/>
      <c r="J54" s="92"/>
      <c r="K54" s="92"/>
      <c r="L54" s="92"/>
      <c r="M54" s="627"/>
      <c r="N54" s="633" t="s">
        <v>266</v>
      </c>
    </row>
    <row r="55" spans="1:14" ht="41.25" customHeight="1">
      <c r="A55" s="112" t="s">
        <v>680</v>
      </c>
      <c r="B55" s="668" t="s">
        <v>268</v>
      </c>
      <c r="C55" s="68">
        <v>377000</v>
      </c>
      <c r="D55" s="92"/>
      <c r="E55" s="92"/>
      <c r="F55" s="92"/>
      <c r="G55" s="92"/>
      <c r="H55" s="92"/>
      <c r="I55" s="93"/>
      <c r="J55" s="93"/>
      <c r="K55" s="93"/>
      <c r="L55" s="93"/>
      <c r="M55" s="627"/>
      <c r="N55" s="633" t="s">
        <v>866</v>
      </c>
    </row>
    <row r="56" spans="1:14" ht="81.75" customHeight="1">
      <c r="A56" s="112" t="s">
        <v>680</v>
      </c>
      <c r="B56" s="668" t="s">
        <v>616</v>
      </c>
      <c r="C56" s="303">
        <v>777700</v>
      </c>
      <c r="D56" s="122"/>
      <c r="E56" s="121"/>
      <c r="F56" s="120"/>
      <c r="G56" s="120"/>
      <c r="H56" s="120"/>
      <c r="I56" s="120"/>
      <c r="J56" s="120"/>
      <c r="K56" s="120"/>
      <c r="L56" s="120"/>
      <c r="M56" s="652"/>
      <c r="N56" s="633" t="s">
        <v>269</v>
      </c>
    </row>
    <row r="57" spans="1:14" ht="54.75" customHeight="1">
      <c r="A57" s="112" t="s">
        <v>680</v>
      </c>
      <c r="B57" s="668" t="s">
        <v>679</v>
      </c>
      <c r="C57" s="303">
        <v>37200</v>
      </c>
      <c r="D57" s="120"/>
      <c r="E57" s="121"/>
      <c r="F57" s="120"/>
      <c r="G57" s="120"/>
      <c r="H57" s="120"/>
      <c r="I57" s="120"/>
      <c r="J57" s="120"/>
      <c r="K57" s="120"/>
      <c r="L57" s="120"/>
      <c r="M57" s="652"/>
      <c r="N57" s="633" t="s">
        <v>270</v>
      </c>
    </row>
    <row r="58" spans="1:14" s="128" customFormat="1" ht="12.75" customHeight="1" hidden="1">
      <c r="A58" s="123"/>
      <c r="B58" s="669" t="s">
        <v>677</v>
      </c>
      <c r="C58" s="124">
        <f>SUM(D58:M58)*1000000</f>
        <v>0</v>
      </c>
      <c r="D58" s="125"/>
      <c r="E58" s="125"/>
      <c r="F58" s="125"/>
      <c r="G58" s="126"/>
      <c r="H58" s="127"/>
      <c r="I58" s="127"/>
      <c r="J58" s="127"/>
      <c r="K58" s="127"/>
      <c r="L58" s="127"/>
      <c r="M58" s="653"/>
      <c r="N58" s="664"/>
    </row>
    <row r="59" spans="1:14" s="128" customFormat="1" ht="12.75" customHeight="1" hidden="1">
      <c r="A59" s="123"/>
      <c r="B59" s="670"/>
      <c r="C59" s="129"/>
      <c r="D59" s="130"/>
      <c r="E59" s="130"/>
      <c r="F59" s="130"/>
      <c r="G59" s="130"/>
      <c r="H59" s="130"/>
      <c r="I59" s="130"/>
      <c r="J59" s="130"/>
      <c r="K59" s="130"/>
      <c r="L59" s="130"/>
      <c r="M59" s="654"/>
      <c r="N59" s="664"/>
    </row>
    <row r="60" spans="1:14" ht="28.5" customHeight="1">
      <c r="A60" s="112" t="s">
        <v>690</v>
      </c>
      <c r="B60" s="666" t="s">
        <v>682</v>
      </c>
      <c r="C60" s="17">
        <f>2000000/4.3</f>
        <v>465116.27906976745</v>
      </c>
      <c r="D60" s="85"/>
      <c r="E60" s="86"/>
      <c r="F60" s="86"/>
      <c r="G60" s="86"/>
      <c r="H60" s="86"/>
      <c r="I60" s="86"/>
      <c r="J60" s="86"/>
      <c r="K60" s="86"/>
      <c r="L60" s="86"/>
      <c r="M60" s="628"/>
      <c r="N60" s="635" t="s">
        <v>407</v>
      </c>
    </row>
    <row r="61" spans="1:14" ht="54.75" customHeight="1">
      <c r="A61" s="112" t="s">
        <v>690</v>
      </c>
      <c r="B61" s="666" t="s">
        <v>683</v>
      </c>
      <c r="C61" s="17">
        <f>4300000/4.3</f>
        <v>1000000</v>
      </c>
      <c r="D61" s="85"/>
      <c r="E61" s="85"/>
      <c r="F61" s="86"/>
      <c r="G61" s="86"/>
      <c r="H61" s="86"/>
      <c r="I61" s="86"/>
      <c r="J61" s="86"/>
      <c r="K61" s="86"/>
      <c r="L61" s="86"/>
      <c r="M61" s="628"/>
      <c r="N61" s="635" t="s">
        <v>271</v>
      </c>
    </row>
    <row r="62" spans="1:14" ht="57" customHeight="1">
      <c r="A62" s="112" t="s">
        <v>690</v>
      </c>
      <c r="B62" s="666" t="s">
        <v>684</v>
      </c>
      <c r="C62" s="17">
        <v>900000</v>
      </c>
      <c r="D62" s="85"/>
      <c r="E62" s="85"/>
      <c r="F62" s="86"/>
      <c r="G62" s="86"/>
      <c r="H62" s="86"/>
      <c r="I62" s="86"/>
      <c r="J62" s="86"/>
      <c r="K62" s="86"/>
      <c r="L62" s="86"/>
      <c r="M62" s="628"/>
      <c r="N62" s="635" t="s">
        <v>271</v>
      </c>
    </row>
    <row r="63" spans="1:14" ht="28.5" customHeight="1">
      <c r="A63" s="112" t="s">
        <v>690</v>
      </c>
      <c r="B63" s="666" t="s">
        <v>685</v>
      </c>
      <c r="C63" s="17">
        <v>600000</v>
      </c>
      <c r="D63" s="85"/>
      <c r="E63" s="86"/>
      <c r="F63" s="86"/>
      <c r="G63" s="86"/>
      <c r="H63" s="86"/>
      <c r="I63" s="86"/>
      <c r="J63" s="86"/>
      <c r="K63" s="86"/>
      <c r="L63" s="86"/>
      <c r="M63" s="628"/>
      <c r="N63" s="635" t="s">
        <v>271</v>
      </c>
    </row>
    <row r="64" spans="1:14" ht="28.5" customHeight="1">
      <c r="A64" s="112" t="s">
        <v>690</v>
      </c>
      <c r="B64" s="666" t="s">
        <v>686</v>
      </c>
      <c r="C64" s="17">
        <v>600000</v>
      </c>
      <c r="D64" s="85"/>
      <c r="E64" s="86"/>
      <c r="F64" s="86"/>
      <c r="G64" s="86"/>
      <c r="H64" s="86"/>
      <c r="I64" s="86"/>
      <c r="J64" s="86"/>
      <c r="K64" s="86"/>
      <c r="L64" s="86"/>
      <c r="M64" s="628"/>
      <c r="N64" s="635" t="s">
        <v>271</v>
      </c>
    </row>
    <row r="65" spans="1:14" ht="27.75" customHeight="1">
      <c r="A65" s="304" t="s">
        <v>690</v>
      </c>
      <c r="B65" s="210" t="s">
        <v>687</v>
      </c>
      <c r="C65" s="25">
        <f>430000/4.3</f>
        <v>100000</v>
      </c>
      <c r="D65" s="115"/>
      <c r="E65" s="115"/>
      <c r="F65" s="116"/>
      <c r="G65" s="116"/>
      <c r="H65" s="116"/>
      <c r="I65" s="116"/>
      <c r="J65" s="116"/>
      <c r="K65" s="116"/>
      <c r="L65" s="116"/>
      <c r="M65" s="655"/>
      <c r="N65" s="635" t="s">
        <v>403</v>
      </c>
    </row>
    <row r="66" spans="1:14" ht="42" customHeight="1">
      <c r="A66" s="131" t="s">
        <v>690</v>
      </c>
      <c r="B66" s="210" t="s">
        <v>688</v>
      </c>
      <c r="C66" s="25">
        <f>144320/4.3</f>
        <v>33562.79069767442</v>
      </c>
      <c r="D66" s="116"/>
      <c r="E66" s="86"/>
      <c r="F66" s="86"/>
      <c r="G66" s="86"/>
      <c r="H66" s="86"/>
      <c r="I66" s="86"/>
      <c r="J66" s="86"/>
      <c r="K66" s="86"/>
      <c r="L66" s="86"/>
      <c r="M66" s="628"/>
      <c r="N66" s="635" t="s">
        <v>271</v>
      </c>
    </row>
    <row r="67" spans="1:14" ht="68.25" customHeight="1">
      <c r="A67" s="112" t="s">
        <v>697</v>
      </c>
      <c r="B67" s="668" t="s">
        <v>691</v>
      </c>
      <c r="C67" s="25">
        <v>900000</v>
      </c>
      <c r="D67" s="133"/>
      <c r="E67" s="133"/>
      <c r="F67" s="133"/>
      <c r="G67" s="133"/>
      <c r="H67" s="133"/>
      <c r="I67" s="133"/>
      <c r="J67" s="96"/>
      <c r="K67" s="96"/>
      <c r="L67" s="96"/>
      <c r="M67" s="629"/>
      <c r="N67" s="635" t="s">
        <v>260</v>
      </c>
    </row>
    <row r="68" spans="1:14" ht="28.5" customHeight="1">
      <c r="A68" s="112" t="s">
        <v>697</v>
      </c>
      <c r="B68" s="668" t="s">
        <v>272</v>
      </c>
      <c r="C68" s="305">
        <v>1200000</v>
      </c>
      <c r="D68" s="306"/>
      <c r="E68" s="306"/>
      <c r="F68" s="307"/>
      <c r="G68" s="307"/>
      <c r="H68" s="307"/>
      <c r="I68" s="307"/>
      <c r="J68" s="308"/>
      <c r="K68" s="309"/>
      <c r="L68" s="309"/>
      <c r="M68" s="656"/>
      <c r="N68" s="635" t="s">
        <v>273</v>
      </c>
    </row>
    <row r="69" spans="1:14" ht="41.25" customHeight="1">
      <c r="A69" s="112" t="s">
        <v>697</v>
      </c>
      <c r="B69" s="668" t="s">
        <v>693</v>
      </c>
      <c r="C69" s="16">
        <v>170000</v>
      </c>
      <c r="D69" s="310"/>
      <c r="E69" s="134"/>
      <c r="F69" s="134"/>
      <c r="G69" s="135"/>
      <c r="H69" s="135"/>
      <c r="I69" s="135"/>
      <c r="J69" s="135"/>
      <c r="K69" s="135"/>
      <c r="L69" s="135"/>
      <c r="M69" s="657"/>
      <c r="N69" s="635" t="s">
        <v>260</v>
      </c>
    </row>
    <row r="70" spans="1:14" ht="40.5" customHeight="1">
      <c r="A70" s="112" t="s">
        <v>697</v>
      </c>
      <c r="B70" s="668" t="s">
        <v>274</v>
      </c>
      <c r="C70" s="113">
        <v>600000</v>
      </c>
      <c r="D70" s="86"/>
      <c r="E70" s="86"/>
      <c r="F70" s="86"/>
      <c r="G70" s="86"/>
      <c r="H70" s="90"/>
      <c r="I70" s="90"/>
      <c r="J70" s="88"/>
      <c r="K70" s="88"/>
      <c r="L70" s="88"/>
      <c r="M70" s="624"/>
      <c r="N70" s="635" t="s">
        <v>408</v>
      </c>
    </row>
    <row r="71" spans="1:14" ht="27.75" customHeight="1">
      <c r="A71" s="112" t="s">
        <v>697</v>
      </c>
      <c r="B71" s="666" t="s">
        <v>694</v>
      </c>
      <c r="C71" s="17">
        <v>240000</v>
      </c>
      <c r="D71" s="98"/>
      <c r="E71" s="98"/>
      <c r="F71" s="98"/>
      <c r="G71" s="86"/>
      <c r="H71" s="86"/>
      <c r="I71" s="86"/>
      <c r="J71" s="137"/>
      <c r="K71" s="137"/>
      <c r="L71" s="137"/>
      <c r="M71" s="658"/>
      <c r="N71" s="635" t="s">
        <v>260</v>
      </c>
    </row>
    <row r="72" spans="1:14" ht="29.25" customHeight="1">
      <c r="A72" s="131" t="s">
        <v>697</v>
      </c>
      <c r="B72" s="671" t="s">
        <v>696</v>
      </c>
      <c r="C72" s="138">
        <v>950000</v>
      </c>
      <c r="D72" s="116"/>
      <c r="E72" s="115"/>
      <c r="F72" s="115"/>
      <c r="G72" s="115"/>
      <c r="H72" s="115"/>
      <c r="I72" s="115"/>
      <c r="J72" s="115"/>
      <c r="K72" s="140"/>
      <c r="L72" s="140"/>
      <c r="M72" s="659"/>
      <c r="N72" s="635" t="s">
        <v>855</v>
      </c>
    </row>
    <row r="73" spans="1:14" ht="15.75" hidden="1">
      <c r="A73" s="441" t="s">
        <v>949</v>
      </c>
      <c r="B73" s="672"/>
      <c r="C73" s="442"/>
      <c r="D73" s="443"/>
      <c r="E73" s="443"/>
      <c r="F73" s="443"/>
      <c r="G73" s="444"/>
      <c r="H73" s="444"/>
      <c r="I73" s="444"/>
      <c r="J73" s="444"/>
      <c r="K73" s="444"/>
      <c r="L73" s="444"/>
      <c r="M73" s="660"/>
      <c r="N73" s="635"/>
    </row>
    <row r="74" spans="1:14" ht="15.75" hidden="1">
      <c r="A74" s="441" t="s">
        <v>949</v>
      </c>
      <c r="B74" s="673"/>
      <c r="C74" s="442"/>
      <c r="D74" s="104"/>
      <c r="E74" s="104"/>
      <c r="F74" s="104"/>
      <c r="G74" s="102"/>
      <c r="H74" s="102"/>
      <c r="I74" s="102"/>
      <c r="J74" s="102"/>
      <c r="K74" s="102"/>
      <c r="L74" s="102"/>
      <c r="M74" s="631"/>
      <c r="N74" s="635"/>
    </row>
    <row r="75" spans="1:14" ht="25.5">
      <c r="A75" s="112" t="s">
        <v>949</v>
      </c>
      <c r="B75" s="674" t="s">
        <v>275</v>
      </c>
      <c r="C75" s="17">
        <v>100000</v>
      </c>
      <c r="D75" s="102"/>
      <c r="E75" s="101"/>
      <c r="F75" s="101"/>
      <c r="G75" s="102"/>
      <c r="H75" s="102"/>
      <c r="I75" s="102"/>
      <c r="J75" s="102"/>
      <c r="K75" s="102"/>
      <c r="L75" s="102"/>
      <c r="M75" s="631"/>
      <c r="N75" s="635" t="s">
        <v>276</v>
      </c>
    </row>
    <row r="76" spans="1:14" ht="54.75" customHeight="1">
      <c r="A76" s="112" t="s">
        <v>949</v>
      </c>
      <c r="B76" s="674" t="s">
        <v>277</v>
      </c>
      <c r="C76" s="17">
        <v>150000</v>
      </c>
      <c r="D76" s="100"/>
      <c r="E76" s="100"/>
      <c r="F76" s="104"/>
      <c r="G76" s="104"/>
      <c r="H76" s="102"/>
      <c r="I76" s="102"/>
      <c r="J76" s="102"/>
      <c r="K76" s="102"/>
      <c r="L76" s="103"/>
      <c r="M76" s="630"/>
      <c r="N76" s="635" t="s">
        <v>278</v>
      </c>
    </row>
    <row r="77" spans="1:14" ht="28.5" customHeight="1">
      <c r="A77" s="112" t="s">
        <v>949</v>
      </c>
      <c r="B77" s="674" t="s">
        <v>279</v>
      </c>
      <c r="C77" s="17">
        <v>570000</v>
      </c>
      <c r="D77" s="100"/>
      <c r="E77" s="100"/>
      <c r="F77" s="100"/>
      <c r="G77" s="100"/>
      <c r="H77" s="101"/>
      <c r="I77" s="101"/>
      <c r="J77" s="101"/>
      <c r="K77" s="101"/>
      <c r="L77" s="101"/>
      <c r="M77" s="661"/>
      <c r="N77" s="635" t="s">
        <v>280</v>
      </c>
    </row>
    <row r="78" spans="1:14" s="445" customFormat="1" ht="15.75" hidden="1">
      <c r="A78" s="441" t="s">
        <v>949</v>
      </c>
      <c r="B78" s="673"/>
      <c r="C78" s="442"/>
      <c r="D78" s="443"/>
      <c r="E78" s="443"/>
      <c r="F78" s="443"/>
      <c r="G78" s="443"/>
      <c r="H78" s="444"/>
      <c r="I78" s="444"/>
      <c r="J78" s="444"/>
      <c r="K78" s="444"/>
      <c r="L78" s="444"/>
      <c r="M78" s="660"/>
      <c r="N78" s="665"/>
    </row>
    <row r="79" spans="1:14" ht="25.5">
      <c r="A79" s="112" t="s">
        <v>949</v>
      </c>
      <c r="B79" s="674" t="s">
        <v>281</v>
      </c>
      <c r="C79" s="17">
        <v>620000</v>
      </c>
      <c r="D79" s="104"/>
      <c r="E79" s="100"/>
      <c r="F79" s="100"/>
      <c r="G79" s="100"/>
      <c r="H79" s="101"/>
      <c r="I79" s="102"/>
      <c r="J79" s="102"/>
      <c r="K79" s="103"/>
      <c r="L79" s="103"/>
      <c r="M79" s="630"/>
      <c r="N79" s="635" t="s">
        <v>859</v>
      </c>
    </row>
    <row r="80" spans="1:14" ht="27.75" customHeight="1">
      <c r="A80" s="112" t="s">
        <v>949</v>
      </c>
      <c r="B80" s="675" t="s">
        <v>282</v>
      </c>
      <c r="C80" s="211">
        <v>10500</v>
      </c>
      <c r="D80" s="144"/>
      <c r="E80" s="141"/>
      <c r="F80" s="144"/>
      <c r="G80" s="144"/>
      <c r="H80" s="144"/>
      <c r="I80" s="144"/>
      <c r="J80" s="144"/>
      <c r="K80" s="142"/>
      <c r="L80" s="142"/>
      <c r="M80" s="662"/>
      <c r="N80" s="635" t="s">
        <v>283</v>
      </c>
    </row>
    <row r="81" spans="1:14" ht="27.75" customHeight="1" thickBot="1">
      <c r="A81" s="145"/>
      <c r="B81" s="146" t="s">
        <v>448</v>
      </c>
      <c r="C81" s="147">
        <f>SUM(C43:C80)</f>
        <v>14145634.069767442</v>
      </c>
      <c r="D81" s="1115"/>
      <c r="E81" s="1116"/>
      <c r="F81" s="1116"/>
      <c r="G81" s="1116"/>
      <c r="H81" s="1116"/>
      <c r="I81" s="1116"/>
      <c r="J81" s="1116"/>
      <c r="K81" s="1116"/>
      <c r="L81" s="1116"/>
      <c r="M81" s="1116"/>
      <c r="N81" s="676"/>
    </row>
    <row r="82" spans="1:14" s="110" customFormat="1" ht="18.75" customHeight="1">
      <c r="A82" s="1121" t="s">
        <v>673</v>
      </c>
      <c r="B82" s="148" t="s">
        <v>952</v>
      </c>
      <c r="C82" s="1123" t="s">
        <v>180</v>
      </c>
      <c r="D82" s="1125">
        <v>2011</v>
      </c>
      <c r="E82" s="1126"/>
      <c r="F82" s="1125">
        <v>2012</v>
      </c>
      <c r="G82" s="1126"/>
      <c r="H82" s="1125">
        <v>2013</v>
      </c>
      <c r="I82" s="1126"/>
      <c r="J82" s="1125">
        <v>2014</v>
      </c>
      <c r="K82" s="1126"/>
      <c r="L82" s="1125">
        <v>2015</v>
      </c>
      <c r="M82" s="1127"/>
      <c r="N82" s="1110" t="s">
        <v>515</v>
      </c>
    </row>
    <row r="83" spans="1:14" s="110" customFormat="1" ht="28.5" customHeight="1">
      <c r="A83" s="1122"/>
      <c r="B83" s="149" t="s">
        <v>179</v>
      </c>
      <c r="C83" s="1124"/>
      <c r="D83" s="149" t="s">
        <v>182</v>
      </c>
      <c r="E83" s="149" t="s">
        <v>181</v>
      </c>
      <c r="F83" s="149" t="s">
        <v>182</v>
      </c>
      <c r="G83" s="149" t="s">
        <v>181</v>
      </c>
      <c r="H83" s="149" t="s">
        <v>182</v>
      </c>
      <c r="I83" s="149" t="s">
        <v>181</v>
      </c>
      <c r="J83" s="149" t="s">
        <v>182</v>
      </c>
      <c r="K83" s="149" t="s">
        <v>181</v>
      </c>
      <c r="L83" s="149" t="s">
        <v>182</v>
      </c>
      <c r="M83" s="150" t="s">
        <v>181</v>
      </c>
      <c r="N83" s="1111"/>
    </row>
    <row r="84" spans="1:14" s="9" customFormat="1" ht="27.75" customHeight="1">
      <c r="A84" s="679" t="s">
        <v>672</v>
      </c>
      <c r="B84" s="436" t="s">
        <v>773</v>
      </c>
      <c r="C84" s="151">
        <v>503671</v>
      </c>
      <c r="D84" s="115"/>
      <c r="E84" s="115"/>
      <c r="F84" s="115"/>
      <c r="G84" s="116"/>
      <c r="H84" s="116"/>
      <c r="I84" s="116"/>
      <c r="J84" s="116"/>
      <c r="K84" s="116"/>
      <c r="L84" s="116"/>
      <c r="M84" s="132"/>
      <c r="N84" s="680" t="s">
        <v>866</v>
      </c>
    </row>
    <row r="85" spans="1:14" s="9" customFormat="1" ht="42" customHeight="1">
      <c r="A85" s="679"/>
      <c r="B85" s="436" t="s">
        <v>617</v>
      </c>
      <c r="C85" s="151">
        <v>14000</v>
      </c>
      <c r="D85" s="115"/>
      <c r="E85" s="115"/>
      <c r="F85" s="115"/>
      <c r="G85" s="116"/>
      <c r="H85" s="116"/>
      <c r="I85" s="116"/>
      <c r="J85" s="116"/>
      <c r="K85" s="116"/>
      <c r="L85" s="116"/>
      <c r="M85" s="132"/>
      <c r="N85" s="680" t="s">
        <v>379</v>
      </c>
    </row>
    <row r="86" spans="1:14" ht="44.25" customHeight="1">
      <c r="A86" s="679" t="s">
        <v>672</v>
      </c>
      <c r="B86" s="436" t="s">
        <v>774</v>
      </c>
      <c r="C86" s="151">
        <v>100000</v>
      </c>
      <c r="D86" s="116"/>
      <c r="E86" s="115"/>
      <c r="F86" s="115"/>
      <c r="G86" s="116"/>
      <c r="H86" s="116"/>
      <c r="I86" s="116"/>
      <c r="J86" s="116"/>
      <c r="K86" s="117"/>
      <c r="L86" s="117"/>
      <c r="M86" s="118"/>
      <c r="N86" s="681" t="s">
        <v>266</v>
      </c>
    </row>
    <row r="87" spans="1:14" ht="27" customHeight="1">
      <c r="A87" s="679" t="s">
        <v>672</v>
      </c>
      <c r="B87" s="436" t="s">
        <v>778</v>
      </c>
      <c r="C87" s="151">
        <v>125000</v>
      </c>
      <c r="D87" s="116"/>
      <c r="E87" s="116"/>
      <c r="F87" s="116"/>
      <c r="G87" s="116"/>
      <c r="H87" s="115"/>
      <c r="I87" s="116"/>
      <c r="J87" s="116"/>
      <c r="K87" s="117"/>
      <c r="L87" s="117"/>
      <c r="M87" s="118"/>
      <c r="N87" s="682" t="s">
        <v>263</v>
      </c>
    </row>
    <row r="88" spans="1:14" ht="96" customHeight="1">
      <c r="A88" s="679" t="s">
        <v>680</v>
      </c>
      <c r="B88" s="436" t="s">
        <v>678</v>
      </c>
      <c r="C88" s="68">
        <v>228200</v>
      </c>
      <c r="D88" s="92"/>
      <c r="E88" s="92"/>
      <c r="F88" s="92"/>
      <c r="G88" s="92"/>
      <c r="H88" s="92"/>
      <c r="I88" s="92"/>
      <c r="J88" s="92"/>
      <c r="K88" s="92"/>
      <c r="L88" s="92"/>
      <c r="M88" s="152"/>
      <c r="N88" s="683" t="s">
        <v>284</v>
      </c>
    </row>
    <row r="89" spans="1:14" ht="28.5" customHeight="1">
      <c r="A89" s="679" t="s">
        <v>690</v>
      </c>
      <c r="B89" s="436" t="s">
        <v>689</v>
      </c>
      <c r="C89" s="151">
        <f>307584/4.3</f>
        <v>71531.16279069768</v>
      </c>
      <c r="D89" s="86"/>
      <c r="E89" s="86"/>
      <c r="F89" s="86"/>
      <c r="G89" s="86"/>
      <c r="H89" s="86"/>
      <c r="I89" s="86"/>
      <c r="J89" s="86"/>
      <c r="K89" s="86"/>
      <c r="L89" s="86"/>
      <c r="M89" s="99"/>
      <c r="N89" s="682" t="s">
        <v>403</v>
      </c>
    </row>
    <row r="90" spans="1:14" ht="28.5" customHeight="1">
      <c r="A90" s="679" t="s">
        <v>697</v>
      </c>
      <c r="B90" s="677" t="s">
        <v>695</v>
      </c>
      <c r="C90" s="151">
        <v>450000</v>
      </c>
      <c r="D90" s="116"/>
      <c r="E90" s="115"/>
      <c r="F90" s="115"/>
      <c r="G90" s="115"/>
      <c r="H90" s="115"/>
      <c r="I90" s="115"/>
      <c r="J90" s="139"/>
      <c r="K90" s="139"/>
      <c r="L90" s="139"/>
      <c r="M90" s="153"/>
      <c r="N90" s="682" t="s">
        <v>285</v>
      </c>
    </row>
    <row r="91" spans="1:14" ht="30.75" customHeight="1">
      <c r="A91" s="679" t="s">
        <v>949</v>
      </c>
      <c r="B91" s="678" t="s">
        <v>701</v>
      </c>
      <c r="C91" s="151">
        <v>5000</v>
      </c>
      <c r="D91" s="144"/>
      <c r="E91" s="144"/>
      <c r="F91" s="141"/>
      <c r="G91" s="141"/>
      <c r="H91" s="144"/>
      <c r="I91" s="144"/>
      <c r="J91" s="144"/>
      <c r="K91" s="144"/>
      <c r="L91" s="144"/>
      <c r="M91" s="154"/>
      <c r="N91" s="682" t="s">
        <v>286</v>
      </c>
    </row>
    <row r="92" spans="1:14" ht="81" customHeight="1">
      <c r="A92" s="679" t="s">
        <v>949</v>
      </c>
      <c r="B92" s="678" t="s">
        <v>287</v>
      </c>
      <c r="C92" s="151">
        <v>50000</v>
      </c>
      <c r="D92" s="144"/>
      <c r="E92" s="141"/>
      <c r="F92" s="312"/>
      <c r="G92" s="312"/>
      <c r="H92" s="144"/>
      <c r="I92" s="144"/>
      <c r="J92" s="144"/>
      <c r="K92" s="142"/>
      <c r="L92" s="142"/>
      <c r="M92" s="143"/>
      <c r="N92" s="682" t="s">
        <v>286</v>
      </c>
    </row>
    <row r="93" spans="1:14" ht="41.25" customHeight="1" thickBot="1">
      <c r="A93" s="690" t="s">
        <v>697</v>
      </c>
      <c r="B93" s="691" t="s">
        <v>288</v>
      </c>
      <c r="C93" s="692">
        <v>1700000</v>
      </c>
      <c r="D93" s="693"/>
      <c r="E93" s="693"/>
      <c r="F93" s="693"/>
      <c r="G93" s="693"/>
      <c r="H93" s="693"/>
      <c r="I93" s="693"/>
      <c r="J93" s="693"/>
      <c r="K93" s="694"/>
      <c r="L93" s="694"/>
      <c r="M93" s="695"/>
      <c r="N93" s="684"/>
    </row>
    <row r="94" spans="1:14" ht="23.25" customHeight="1" thickBot="1">
      <c r="A94" s="696"/>
      <c r="B94" s="697" t="s">
        <v>954</v>
      </c>
      <c r="C94" s="698">
        <f>SUM(C84:C93)</f>
        <v>3247402.1627906975</v>
      </c>
      <c r="D94" s="699"/>
      <c r="E94" s="699"/>
      <c r="F94" s="699"/>
      <c r="G94" s="699"/>
      <c r="H94" s="699"/>
      <c r="I94" s="699"/>
      <c r="J94" s="699"/>
      <c r="K94" s="699"/>
      <c r="L94" s="699"/>
      <c r="M94" s="700"/>
      <c r="N94" s="689"/>
    </row>
    <row r="95" spans="1:13" ht="23.25" customHeight="1">
      <c r="A95" s="685"/>
      <c r="B95" s="686"/>
      <c r="C95" s="687"/>
      <c r="D95" s="688"/>
      <c r="E95" s="688"/>
      <c r="F95" s="688"/>
      <c r="G95" s="688"/>
      <c r="H95" s="688"/>
      <c r="I95" s="688"/>
      <c r="J95" s="688"/>
      <c r="K95" s="688"/>
      <c r="L95" s="688"/>
      <c r="M95" s="688"/>
    </row>
    <row r="96" ht="90" customHeight="1" thickBot="1"/>
    <row r="97" spans="2:3" ht="21" customHeight="1">
      <c r="B97" s="155" t="s">
        <v>175</v>
      </c>
      <c r="C97" s="1003">
        <f>C37</f>
        <v>19613384.03953488</v>
      </c>
    </row>
    <row r="98" spans="2:3" ht="23.25" customHeight="1">
      <c r="B98" s="156" t="s">
        <v>176</v>
      </c>
      <c r="C98" s="1004">
        <f>C81</f>
        <v>14145634.069767442</v>
      </c>
    </row>
    <row r="99" spans="2:3" ht="20.25" customHeight="1">
      <c r="B99" s="157" t="s">
        <v>177</v>
      </c>
      <c r="C99" s="1005">
        <f>C94</f>
        <v>3247402.1627906975</v>
      </c>
    </row>
    <row r="100" spans="2:3" ht="23.25" customHeight="1" thickBot="1">
      <c r="B100" s="158" t="s">
        <v>178</v>
      </c>
      <c r="C100" s="223">
        <f>SUM(C97:C99)</f>
        <v>37006420.27209303</v>
      </c>
    </row>
    <row r="106" ht="88.5" customHeight="1"/>
    <row r="107" ht="24.75" customHeight="1" thickBot="1"/>
    <row r="108" spans="1:14" ht="12.75">
      <c r="A108" s="1133" t="s">
        <v>673</v>
      </c>
      <c r="B108" s="1135" t="s">
        <v>179</v>
      </c>
      <c r="C108" s="1137" t="s">
        <v>180</v>
      </c>
      <c r="D108" s="1075">
        <v>2011</v>
      </c>
      <c r="E108" s="1075"/>
      <c r="F108" s="1075">
        <v>2012</v>
      </c>
      <c r="G108" s="1075"/>
      <c r="H108" s="1075">
        <v>2013</v>
      </c>
      <c r="I108" s="1075"/>
      <c r="J108" s="1075">
        <v>2014</v>
      </c>
      <c r="K108" s="1075"/>
      <c r="L108" s="1075">
        <v>2015</v>
      </c>
      <c r="M108" s="1139"/>
      <c r="N108" s="1105" t="s">
        <v>515</v>
      </c>
    </row>
    <row r="109" spans="1:14" ht="12.75" customHeight="1">
      <c r="A109" s="1134"/>
      <c r="B109" s="1136"/>
      <c r="C109" s="1138"/>
      <c r="D109" s="1112" t="s">
        <v>182</v>
      </c>
      <c r="E109" s="1112" t="s">
        <v>181</v>
      </c>
      <c r="F109" s="1112" t="s">
        <v>182</v>
      </c>
      <c r="G109" s="1112" t="s">
        <v>181</v>
      </c>
      <c r="H109" s="1112" t="s">
        <v>182</v>
      </c>
      <c r="I109" s="1112" t="s">
        <v>181</v>
      </c>
      <c r="J109" s="1112" t="s">
        <v>182</v>
      </c>
      <c r="K109" s="1112" t="s">
        <v>181</v>
      </c>
      <c r="L109" s="1112" t="s">
        <v>182</v>
      </c>
      <c r="M109" s="1113" t="s">
        <v>181</v>
      </c>
      <c r="N109" s="1106"/>
    </row>
    <row r="110" spans="1:14" ht="29.25" customHeight="1">
      <c r="A110" s="1134"/>
      <c r="B110" s="159" t="s">
        <v>649</v>
      </c>
      <c r="C110" s="1138"/>
      <c r="D110" s="1112"/>
      <c r="E110" s="1112"/>
      <c r="F110" s="1112"/>
      <c r="G110" s="1112"/>
      <c r="H110" s="1112"/>
      <c r="I110" s="1112"/>
      <c r="J110" s="1112"/>
      <c r="K110" s="1112"/>
      <c r="L110" s="1112"/>
      <c r="M110" s="1113"/>
      <c r="N110" s="1107"/>
    </row>
    <row r="111" spans="1:14" s="89" customFormat="1" ht="44.25" customHeight="1">
      <c r="A111" s="705" t="s">
        <v>672</v>
      </c>
      <c r="B111" s="706" t="s">
        <v>289</v>
      </c>
      <c r="C111" s="160">
        <v>1173000</v>
      </c>
      <c r="D111" s="85"/>
      <c r="E111" s="85"/>
      <c r="F111" s="85"/>
      <c r="G111" s="313"/>
      <c r="H111" s="302"/>
      <c r="I111" s="302"/>
      <c r="J111" s="302"/>
      <c r="K111" s="87"/>
      <c r="L111" s="88"/>
      <c r="M111" s="624"/>
      <c r="N111" s="633" t="s">
        <v>290</v>
      </c>
    </row>
    <row r="112" spans="1:14" ht="40.5" customHeight="1">
      <c r="A112" s="705" t="s">
        <v>672</v>
      </c>
      <c r="B112" s="707" t="s">
        <v>291</v>
      </c>
      <c r="C112" s="161">
        <v>400000</v>
      </c>
      <c r="D112" s="116"/>
      <c r="E112" s="116"/>
      <c r="F112" s="115"/>
      <c r="G112" s="115"/>
      <c r="H112" s="116"/>
      <c r="I112" s="116"/>
      <c r="J112" s="116"/>
      <c r="K112" s="117"/>
      <c r="L112" s="117"/>
      <c r="M112" s="651"/>
      <c r="N112" s="635" t="s">
        <v>292</v>
      </c>
    </row>
    <row r="113" spans="1:14" ht="33" customHeight="1">
      <c r="A113" s="705" t="s">
        <v>672</v>
      </c>
      <c r="B113" s="707" t="s">
        <v>953</v>
      </c>
      <c r="C113" s="161">
        <v>120000</v>
      </c>
      <c r="D113" s="116"/>
      <c r="E113" s="116"/>
      <c r="F113" s="115"/>
      <c r="G113" s="115"/>
      <c r="H113" s="116"/>
      <c r="I113" s="162"/>
      <c r="J113" s="116"/>
      <c r="K113" s="117"/>
      <c r="L113" s="117"/>
      <c r="M113" s="651"/>
      <c r="N113" s="635"/>
    </row>
    <row r="114" spans="1:14" ht="27.75" customHeight="1">
      <c r="A114" s="705" t="s">
        <v>672</v>
      </c>
      <c r="B114" s="707" t="s">
        <v>843</v>
      </c>
      <c r="C114" s="161">
        <v>400000</v>
      </c>
      <c r="D114" s="116"/>
      <c r="E114" s="117"/>
      <c r="F114" s="117"/>
      <c r="G114" s="116"/>
      <c r="H114" s="115"/>
      <c r="I114" s="115"/>
      <c r="J114" s="116"/>
      <c r="K114" s="117"/>
      <c r="L114" s="117"/>
      <c r="M114" s="651"/>
      <c r="N114" s="635"/>
    </row>
    <row r="115" spans="1:14" ht="31.5" customHeight="1">
      <c r="A115" s="705" t="s">
        <v>672</v>
      </c>
      <c r="B115" s="707" t="s">
        <v>784</v>
      </c>
      <c r="C115" s="161">
        <v>820000</v>
      </c>
      <c r="D115" s="116"/>
      <c r="E115" s="117"/>
      <c r="F115" s="117"/>
      <c r="G115" s="116"/>
      <c r="H115" s="116"/>
      <c r="I115" s="115"/>
      <c r="J115" s="115"/>
      <c r="K115" s="117"/>
      <c r="L115" s="117"/>
      <c r="M115" s="651"/>
      <c r="N115" s="635"/>
    </row>
    <row r="116" spans="1:14" ht="29.25" customHeight="1">
      <c r="A116" s="705" t="s">
        <v>672</v>
      </c>
      <c r="B116" s="707" t="s">
        <v>785</v>
      </c>
      <c r="C116" s="161">
        <v>480000</v>
      </c>
      <c r="D116" s="116"/>
      <c r="E116" s="117"/>
      <c r="F116" s="117"/>
      <c r="G116" s="116"/>
      <c r="H116" s="115"/>
      <c r="I116" s="115"/>
      <c r="J116" s="116"/>
      <c r="K116" s="117"/>
      <c r="L116" s="117"/>
      <c r="M116" s="651"/>
      <c r="N116" s="635"/>
    </row>
    <row r="117" spans="1:14" ht="27" customHeight="1">
      <c r="A117" s="705" t="s">
        <v>672</v>
      </c>
      <c r="B117" s="707" t="s">
        <v>782</v>
      </c>
      <c r="C117" s="161">
        <v>1000000</v>
      </c>
      <c r="D117" s="116"/>
      <c r="E117" s="116"/>
      <c r="F117" s="116"/>
      <c r="G117" s="163"/>
      <c r="H117" s="164"/>
      <c r="I117" s="115"/>
      <c r="J117" s="115"/>
      <c r="K117" s="115"/>
      <c r="L117" s="117"/>
      <c r="M117" s="651"/>
      <c r="N117" s="635"/>
    </row>
    <row r="118" spans="1:14" ht="21" customHeight="1">
      <c r="A118" s="705" t="s">
        <v>680</v>
      </c>
      <c r="B118" s="707" t="s">
        <v>293</v>
      </c>
      <c r="C118" s="314">
        <v>56400</v>
      </c>
      <c r="D118" s="93"/>
      <c r="E118" s="93"/>
      <c r="F118" s="92"/>
      <c r="G118" s="92"/>
      <c r="H118" s="92"/>
      <c r="I118" s="92"/>
      <c r="J118" s="92"/>
      <c r="K118" s="92"/>
      <c r="L118" s="92"/>
      <c r="M118" s="627"/>
      <c r="N118" s="635"/>
    </row>
    <row r="119" spans="1:14" ht="19.5" customHeight="1">
      <c r="A119" s="705" t="s">
        <v>680</v>
      </c>
      <c r="B119" s="707" t="s">
        <v>294</v>
      </c>
      <c r="C119" s="314">
        <v>7000000</v>
      </c>
      <c r="D119" s="166"/>
      <c r="E119" s="166"/>
      <c r="F119" s="166"/>
      <c r="G119" s="166"/>
      <c r="H119" s="166"/>
      <c r="I119" s="166"/>
      <c r="J119" s="166"/>
      <c r="K119" s="166"/>
      <c r="L119" s="166"/>
      <c r="M119" s="701"/>
      <c r="N119" s="635"/>
    </row>
    <row r="120" spans="1:14" ht="19.5" customHeight="1">
      <c r="A120" s="705" t="s">
        <v>680</v>
      </c>
      <c r="B120" s="707" t="s">
        <v>295</v>
      </c>
      <c r="C120" s="314">
        <v>3040200</v>
      </c>
      <c r="D120" s="125"/>
      <c r="E120" s="125"/>
      <c r="F120" s="125"/>
      <c r="G120" s="165"/>
      <c r="H120" s="127"/>
      <c r="I120" s="127"/>
      <c r="J120" s="127"/>
      <c r="K120" s="127"/>
      <c r="L120" s="127"/>
      <c r="M120" s="653"/>
      <c r="N120" s="635"/>
    </row>
    <row r="121" spans="1:14" ht="19.5" customHeight="1">
      <c r="A121" s="705" t="s">
        <v>680</v>
      </c>
      <c r="B121" s="707" t="s">
        <v>296</v>
      </c>
      <c r="C121" s="314">
        <v>138000</v>
      </c>
      <c r="D121" s="166"/>
      <c r="E121" s="166"/>
      <c r="F121" s="166"/>
      <c r="G121" s="166"/>
      <c r="H121" s="166"/>
      <c r="I121" s="166"/>
      <c r="J121" s="166"/>
      <c r="K121" s="166"/>
      <c r="L121" s="166"/>
      <c r="M121" s="701"/>
      <c r="N121" s="635"/>
    </row>
    <row r="122" spans="1:14" ht="29.25" customHeight="1">
      <c r="A122" s="705" t="s">
        <v>949</v>
      </c>
      <c r="B122" s="707" t="s">
        <v>950</v>
      </c>
      <c r="C122" s="68">
        <v>1180000</v>
      </c>
      <c r="D122" s="100"/>
      <c r="E122" s="100"/>
      <c r="F122" s="100"/>
      <c r="G122" s="100"/>
      <c r="H122" s="101"/>
      <c r="I122" s="101"/>
      <c r="J122" s="101"/>
      <c r="K122" s="101"/>
      <c r="L122" s="101"/>
      <c r="M122" s="661"/>
      <c r="N122" s="635"/>
    </row>
    <row r="123" spans="1:14" ht="28.5" customHeight="1">
      <c r="A123" s="705" t="s">
        <v>949</v>
      </c>
      <c r="B123" s="707" t="s">
        <v>951</v>
      </c>
      <c r="C123" s="161">
        <v>3650000</v>
      </c>
      <c r="D123" s="141"/>
      <c r="E123" s="141"/>
      <c r="F123" s="141"/>
      <c r="G123" s="141"/>
      <c r="H123" s="141"/>
      <c r="I123" s="141"/>
      <c r="J123" s="141"/>
      <c r="K123" s="167"/>
      <c r="L123" s="167"/>
      <c r="M123" s="702"/>
      <c r="N123" s="635"/>
    </row>
    <row r="124" spans="1:14" ht="22.5" customHeight="1" thickBot="1">
      <c r="A124" s="168"/>
      <c r="B124" s="708" t="s">
        <v>870</v>
      </c>
      <c r="C124" s="75">
        <f>SUM(C111:C123)</f>
        <v>19457600</v>
      </c>
      <c r="D124" s="1091"/>
      <c r="E124" s="1092"/>
      <c r="F124" s="1092"/>
      <c r="G124" s="1092"/>
      <c r="H124" s="1092"/>
      <c r="I124" s="1092"/>
      <c r="J124" s="1092"/>
      <c r="K124" s="1092"/>
      <c r="L124" s="1092"/>
      <c r="M124" s="1093"/>
      <c r="N124" s="703"/>
    </row>
    <row r="127" ht="57.75" customHeight="1" thickBot="1"/>
    <row r="128" spans="2:3" ht="12.75">
      <c r="B128" s="169" t="s">
        <v>672</v>
      </c>
      <c r="C128" s="170">
        <f>SUM(C8:C17)+SUM(C43:C52)+SUM(C84:C87)+SUM(C111:C117)</f>
        <v>13527522</v>
      </c>
    </row>
    <row r="129" spans="2:3" ht="12.75">
      <c r="B129" s="171" t="s">
        <v>680</v>
      </c>
      <c r="C129" s="172">
        <f>SUM(C18:C20)+SUM(C53:C57)+SUM(C88)+SUM(C118:C121)</f>
        <v>13223560</v>
      </c>
    </row>
    <row r="130" spans="2:3" ht="12.75">
      <c r="B130" s="171" t="s">
        <v>690</v>
      </c>
      <c r="C130" s="172">
        <f>SUM(C23:C27,C60:C66,C89)</f>
        <v>10098065.272093024</v>
      </c>
    </row>
    <row r="131" spans="2:3" ht="12.75">
      <c r="B131" s="173" t="s">
        <v>697</v>
      </c>
      <c r="C131" s="172">
        <f>SUM(C28:C29)+SUM(C67:C72)+SUM(C90)</f>
        <v>8810000</v>
      </c>
    </row>
    <row r="132" spans="2:3" ht="12.75">
      <c r="B132" s="173" t="s">
        <v>955</v>
      </c>
      <c r="C132" s="172">
        <f>SUM(C30:C36)+SUM(C75:C80)+SUM(C91:C92)+SUM(C122:C123)</f>
        <v>8398973</v>
      </c>
    </row>
    <row r="133" spans="2:3" ht="13.5" thickBot="1">
      <c r="B133" s="174" t="s">
        <v>648</v>
      </c>
      <c r="C133" s="175">
        <f>SUM(C128:C132)</f>
        <v>54058120.27209303</v>
      </c>
    </row>
  </sheetData>
  <sheetProtection/>
  <mergeCells count="71">
    <mergeCell ref="J109:J110"/>
    <mergeCell ref="F109:F110"/>
    <mergeCell ref="G109:G110"/>
    <mergeCell ref="H109:H110"/>
    <mergeCell ref="I109:I110"/>
    <mergeCell ref="F108:G108"/>
    <mergeCell ref="H108:I108"/>
    <mergeCell ref="J108:K108"/>
    <mergeCell ref="L108:M108"/>
    <mergeCell ref="A108:A110"/>
    <mergeCell ref="B108:B109"/>
    <mergeCell ref="C108:C110"/>
    <mergeCell ref="D108:E108"/>
    <mergeCell ref="D109:D110"/>
    <mergeCell ref="E109:E110"/>
    <mergeCell ref="A3:M3"/>
    <mergeCell ref="I6:I7"/>
    <mergeCell ref="J6:J7"/>
    <mergeCell ref="K6:K7"/>
    <mergeCell ref="L6:L7"/>
    <mergeCell ref="A4:M4"/>
    <mergeCell ref="M6:M7"/>
    <mergeCell ref="E6:E7"/>
    <mergeCell ref="A5:A7"/>
    <mergeCell ref="C5:C7"/>
    <mergeCell ref="F5:G5"/>
    <mergeCell ref="B6:B7"/>
    <mergeCell ref="D6:D7"/>
    <mergeCell ref="F6:F7"/>
    <mergeCell ref="G6:G7"/>
    <mergeCell ref="H82:I82"/>
    <mergeCell ref="J82:K82"/>
    <mergeCell ref="L82:M82"/>
    <mergeCell ref="H6:H7"/>
    <mergeCell ref="H41:H42"/>
    <mergeCell ref="I41:I42"/>
    <mergeCell ref="J41:J42"/>
    <mergeCell ref="J40:K40"/>
    <mergeCell ref="L40:M40"/>
    <mergeCell ref="A82:A83"/>
    <mergeCell ref="C82:C83"/>
    <mergeCell ref="D82:E82"/>
    <mergeCell ref="F82:G82"/>
    <mergeCell ref="G41:G42"/>
    <mergeCell ref="A2:N2"/>
    <mergeCell ref="A1:N1"/>
    <mergeCell ref="D81:M81"/>
    <mergeCell ref="N5:N7"/>
    <mergeCell ref="H5:I5"/>
    <mergeCell ref="J5:K5"/>
    <mergeCell ref="L5:M5"/>
    <mergeCell ref="N40:N42"/>
    <mergeCell ref="D5:E5"/>
    <mergeCell ref="N108:N110"/>
    <mergeCell ref="K41:K42"/>
    <mergeCell ref="L41:L42"/>
    <mergeCell ref="M41:M42"/>
    <mergeCell ref="N82:N83"/>
    <mergeCell ref="K109:K110"/>
    <mergeCell ref="L109:L110"/>
    <mergeCell ref="M109:M110"/>
    <mergeCell ref="D124:M124"/>
    <mergeCell ref="A40:A42"/>
    <mergeCell ref="C40:C42"/>
    <mergeCell ref="D40:E40"/>
    <mergeCell ref="F40:G40"/>
    <mergeCell ref="B41:B42"/>
    <mergeCell ref="D41:D42"/>
    <mergeCell ref="E41:E42"/>
    <mergeCell ref="F41:F42"/>
    <mergeCell ref="H40:I40"/>
  </mergeCells>
  <printOptions/>
  <pageMargins left="0.29" right="0.18" top="0.55" bottom="0.48" header="0.5" footer="0.5"/>
  <pageSetup horizontalDpi="600" verticalDpi="600" orientation="landscape" scale="99" r:id="rId4"/>
  <headerFooter alignWithMargins="0">
    <oddFooter>&amp;R&amp;P</oddFooter>
  </headerFooter>
  <rowBreaks count="5" manualBreakCount="5">
    <brk id="39" max="255" man="1"/>
    <brk id="81" max="255" man="1"/>
    <brk id="95" max="255" man="1"/>
    <brk id="106" max="255" man="1"/>
    <brk id="126" max="13" man="1"/>
  </rowBreaks>
  <colBreaks count="1" manualBreakCount="1">
    <brk id="14"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O1276"/>
  <sheetViews>
    <sheetView view="pageBreakPreview" zoomScale="80" zoomScaleNormal="80" zoomScaleSheetLayoutView="80" zoomScalePageLayoutView="0" workbookViewId="0" topLeftCell="A112">
      <selection activeCell="C116" sqref="C116:C118"/>
    </sheetView>
  </sheetViews>
  <sheetFormatPr defaultColWidth="9.140625" defaultRowHeight="12.75"/>
  <cols>
    <col min="1" max="1" width="10.7109375" style="483" customWidth="1"/>
    <col min="2" max="2" width="35.140625" style="176" customWidth="1"/>
    <col min="3" max="3" width="13.7109375" style="176" customWidth="1"/>
    <col min="4" max="5" width="5.28125" style="108" customWidth="1"/>
    <col min="6" max="7" width="5.421875" style="108" customWidth="1"/>
    <col min="8" max="8" width="5.28125" style="108" customWidth="1"/>
    <col min="9" max="9" width="5.421875" style="108" customWidth="1"/>
    <col min="10" max="13" width="5.28125" style="108" customWidth="1"/>
    <col min="14" max="14" width="13.7109375" style="108" customWidth="1"/>
    <col min="15" max="15" width="10.00390625" style="108" customWidth="1"/>
    <col min="16" max="33" width="2.7109375" style="108" bestFit="1" customWidth="1"/>
    <col min="34" max="16384" width="9.140625" style="108" customWidth="1"/>
  </cols>
  <sheetData>
    <row r="1" spans="1:15" ht="20.25" customHeight="1">
      <c r="A1" s="1146" t="s">
        <v>147</v>
      </c>
      <c r="B1" s="1146"/>
      <c r="C1" s="1146"/>
      <c r="D1" s="1146"/>
      <c r="E1" s="1146"/>
      <c r="F1" s="1146"/>
      <c r="G1" s="1146"/>
      <c r="H1" s="1146"/>
      <c r="I1" s="1146"/>
      <c r="J1" s="1146"/>
      <c r="K1" s="1146"/>
      <c r="L1" s="1146"/>
      <c r="M1" s="1146"/>
      <c r="N1" s="1145"/>
      <c r="O1" s="1145"/>
    </row>
    <row r="2" spans="1:15" ht="15.75">
      <c r="A2" s="1144" t="s">
        <v>356</v>
      </c>
      <c r="B2" s="1144"/>
      <c r="C2" s="1144"/>
      <c r="D2" s="1144"/>
      <c r="E2" s="1144"/>
      <c r="F2" s="1144"/>
      <c r="G2" s="1144"/>
      <c r="H2" s="1144"/>
      <c r="I2" s="1144"/>
      <c r="J2" s="1144"/>
      <c r="K2" s="1144"/>
      <c r="L2" s="1144"/>
      <c r="M2" s="1144"/>
      <c r="N2" s="1145"/>
      <c r="O2" s="1145"/>
    </row>
    <row r="3" spans="1:13" ht="27.75" customHeight="1">
      <c r="A3" s="1155" t="s">
        <v>355</v>
      </c>
      <c r="B3" s="1155"/>
      <c r="C3" s="1155"/>
      <c r="D3" s="1155"/>
      <c r="E3" s="1155"/>
      <c r="F3" s="1155"/>
      <c r="G3" s="1155"/>
      <c r="H3" s="1155"/>
      <c r="I3" s="1155"/>
      <c r="J3" s="1155"/>
      <c r="K3" s="1155"/>
      <c r="L3" s="1155"/>
      <c r="M3" s="1155"/>
    </row>
    <row r="4" spans="1:13" ht="24.75" customHeight="1" thickBot="1">
      <c r="A4" s="1167" t="s">
        <v>504</v>
      </c>
      <c r="B4" s="1167"/>
      <c r="C4" s="1167"/>
      <c r="D4" s="1167"/>
      <c r="E4" s="1167"/>
      <c r="F4" s="1167"/>
      <c r="G4" s="1167"/>
      <c r="H4" s="1167"/>
      <c r="I4" s="1167"/>
      <c r="J4" s="1167"/>
      <c r="K4" s="1167"/>
      <c r="L4" s="1167"/>
      <c r="M4" s="1167"/>
    </row>
    <row r="5" spans="1:15" ht="12.75" customHeight="1">
      <c r="A5" s="1170" t="s">
        <v>673</v>
      </c>
      <c r="B5" s="1173" t="s">
        <v>671</v>
      </c>
      <c r="C5" s="1175" t="s">
        <v>180</v>
      </c>
      <c r="D5" s="1168">
        <v>2011</v>
      </c>
      <c r="E5" s="1168"/>
      <c r="F5" s="1168">
        <v>2012</v>
      </c>
      <c r="G5" s="1168"/>
      <c r="H5" s="1168">
        <v>2013</v>
      </c>
      <c r="I5" s="1168"/>
      <c r="J5" s="1168">
        <v>2014</v>
      </c>
      <c r="K5" s="1168"/>
      <c r="L5" s="1168">
        <v>2015</v>
      </c>
      <c r="M5" s="1169"/>
      <c r="N5" s="1180" t="s">
        <v>515</v>
      </c>
      <c r="O5" s="1181"/>
    </row>
    <row r="6" spans="1:15" ht="17.25" customHeight="1">
      <c r="A6" s="1171"/>
      <c r="B6" s="1174"/>
      <c r="C6" s="1176"/>
      <c r="D6" s="1178" t="s">
        <v>182</v>
      </c>
      <c r="E6" s="1178" t="s">
        <v>181</v>
      </c>
      <c r="F6" s="1178" t="s">
        <v>182</v>
      </c>
      <c r="G6" s="1178" t="s">
        <v>181</v>
      </c>
      <c r="H6" s="1178" t="s">
        <v>182</v>
      </c>
      <c r="I6" s="1178" t="s">
        <v>181</v>
      </c>
      <c r="J6" s="1178" t="s">
        <v>182</v>
      </c>
      <c r="K6" s="1178" t="s">
        <v>181</v>
      </c>
      <c r="L6" s="1178" t="s">
        <v>182</v>
      </c>
      <c r="M6" s="1189" t="s">
        <v>181</v>
      </c>
      <c r="N6" s="1182"/>
      <c r="O6" s="1183"/>
    </row>
    <row r="7" spans="1:15" ht="21.75" customHeight="1">
      <c r="A7" s="1172"/>
      <c r="B7" s="178" t="s">
        <v>179</v>
      </c>
      <c r="C7" s="1177"/>
      <c r="D7" s="1179"/>
      <c r="E7" s="1179"/>
      <c r="F7" s="1179"/>
      <c r="G7" s="1179"/>
      <c r="H7" s="1179"/>
      <c r="I7" s="1179"/>
      <c r="J7" s="1179"/>
      <c r="K7" s="1179"/>
      <c r="L7" s="1179"/>
      <c r="M7" s="1190"/>
      <c r="N7" s="1184"/>
      <c r="O7" s="1185"/>
    </row>
    <row r="8" spans="1:15" s="110" customFormat="1" ht="75" customHeight="1">
      <c r="A8" s="714" t="s">
        <v>825</v>
      </c>
      <c r="B8" s="710" t="s">
        <v>880</v>
      </c>
      <c r="C8" s="315">
        <v>94890</v>
      </c>
      <c r="D8" s="316"/>
      <c r="E8" s="317"/>
      <c r="F8" s="317"/>
      <c r="G8" s="316"/>
      <c r="H8" s="316"/>
      <c r="I8" s="316"/>
      <c r="J8" s="318"/>
      <c r="K8" s="318"/>
      <c r="L8" s="318"/>
      <c r="M8" s="383"/>
      <c r="N8" s="715" t="s">
        <v>309</v>
      </c>
      <c r="O8" s="716" t="s">
        <v>501</v>
      </c>
    </row>
    <row r="9" spans="1:15" s="110" customFormat="1" ht="157.5" customHeight="1">
      <c r="A9" s="714" t="s">
        <v>825</v>
      </c>
      <c r="B9" s="710" t="s">
        <v>507</v>
      </c>
      <c r="C9" s="315">
        <v>8879000</v>
      </c>
      <c r="D9" s="319"/>
      <c r="E9" s="316"/>
      <c r="F9" s="320"/>
      <c r="G9" s="320"/>
      <c r="H9" s="320"/>
      <c r="I9" s="319"/>
      <c r="J9" s="318"/>
      <c r="K9" s="318"/>
      <c r="L9" s="318"/>
      <c r="M9" s="383"/>
      <c r="N9" s="715" t="s">
        <v>409</v>
      </c>
      <c r="O9" s="716" t="s">
        <v>493</v>
      </c>
    </row>
    <row r="10" spans="1:15" s="110" customFormat="1" ht="111.75" customHeight="1">
      <c r="A10" s="714" t="s">
        <v>825</v>
      </c>
      <c r="B10" s="710" t="s">
        <v>508</v>
      </c>
      <c r="C10" s="315">
        <v>719000</v>
      </c>
      <c r="D10" s="319"/>
      <c r="E10" s="319"/>
      <c r="F10" s="321"/>
      <c r="G10" s="321"/>
      <c r="H10" s="322"/>
      <c r="I10" s="322"/>
      <c r="J10" s="322"/>
      <c r="K10" s="322"/>
      <c r="L10" s="322"/>
      <c r="M10" s="452"/>
      <c r="N10" s="715" t="s">
        <v>503</v>
      </c>
      <c r="O10" s="716" t="s">
        <v>491</v>
      </c>
    </row>
    <row r="11" spans="1:15" s="128" customFormat="1" ht="12.75" customHeight="1" hidden="1">
      <c r="A11" s="709"/>
      <c r="B11" s="711"/>
      <c r="C11" s="323"/>
      <c r="D11" s="324"/>
      <c r="E11" s="324"/>
      <c r="F11" s="324"/>
      <c r="G11" s="324"/>
      <c r="H11" s="324"/>
      <c r="I11" s="324"/>
      <c r="J11" s="324"/>
      <c r="K11" s="324"/>
      <c r="L11" s="324"/>
      <c r="M11" s="453"/>
      <c r="N11" s="871"/>
      <c r="O11" s="872"/>
    </row>
    <row r="12" spans="1:15" s="128" customFormat="1" ht="12.75" customHeight="1" hidden="1">
      <c r="A12" s="709"/>
      <c r="B12" s="711"/>
      <c r="C12" s="323"/>
      <c r="D12" s="325"/>
      <c r="E12" s="326"/>
      <c r="F12" s="326"/>
      <c r="G12" s="326"/>
      <c r="H12" s="326"/>
      <c r="I12" s="326"/>
      <c r="J12" s="326"/>
      <c r="K12" s="326"/>
      <c r="L12" s="326"/>
      <c r="M12" s="454"/>
      <c r="N12" s="871"/>
      <c r="O12" s="872"/>
    </row>
    <row r="13" spans="1:15" s="110" customFormat="1" ht="100.5" customHeight="1">
      <c r="A13" s="714" t="s">
        <v>825</v>
      </c>
      <c r="B13" s="710" t="s">
        <v>509</v>
      </c>
      <c r="C13" s="323">
        <v>1616000</v>
      </c>
      <c r="D13" s="320"/>
      <c r="E13" s="327"/>
      <c r="F13" s="327"/>
      <c r="G13" s="327"/>
      <c r="H13" s="327"/>
      <c r="I13" s="327"/>
      <c r="J13" s="327"/>
      <c r="K13" s="327"/>
      <c r="L13" s="327"/>
      <c r="M13" s="455"/>
      <c r="N13" s="715" t="s">
        <v>502</v>
      </c>
      <c r="O13" s="716" t="s">
        <v>501</v>
      </c>
    </row>
    <row r="14" spans="1:15" s="110" customFormat="1" ht="88.5" customHeight="1">
      <c r="A14" s="714" t="s">
        <v>825</v>
      </c>
      <c r="B14" s="712" t="s">
        <v>495</v>
      </c>
      <c r="C14" s="323">
        <v>732000</v>
      </c>
      <c r="D14" s="319"/>
      <c r="E14" s="319"/>
      <c r="F14" s="319"/>
      <c r="G14" s="319"/>
      <c r="H14" s="319"/>
      <c r="I14" s="319"/>
      <c r="J14" s="318"/>
      <c r="K14" s="318"/>
      <c r="L14" s="318"/>
      <c r="M14" s="383"/>
      <c r="N14" s="717" t="s">
        <v>305</v>
      </c>
      <c r="O14" s="716"/>
    </row>
    <row r="15" spans="1:15" s="110" customFormat="1" ht="54.75" customHeight="1">
      <c r="A15" s="714" t="s">
        <v>825</v>
      </c>
      <c r="B15" s="712" t="s">
        <v>496</v>
      </c>
      <c r="C15" s="323"/>
      <c r="D15" s="319"/>
      <c r="E15" s="319"/>
      <c r="F15" s="319"/>
      <c r="G15" s="319"/>
      <c r="H15" s="319"/>
      <c r="I15" s="319"/>
      <c r="J15" s="318"/>
      <c r="K15" s="318"/>
      <c r="L15" s="318"/>
      <c r="M15" s="383"/>
      <c r="N15" s="717" t="s">
        <v>506</v>
      </c>
      <c r="O15" s="716"/>
    </row>
    <row r="16" spans="1:15" s="89" customFormat="1" ht="93.75" customHeight="1">
      <c r="A16" s="714" t="s">
        <v>533</v>
      </c>
      <c r="B16" s="711" t="s">
        <v>735</v>
      </c>
      <c r="C16" s="323">
        <v>7687105</v>
      </c>
      <c r="D16" s="328"/>
      <c r="E16" s="328"/>
      <c r="F16" s="328"/>
      <c r="G16" s="329"/>
      <c r="H16" s="329"/>
      <c r="I16" s="329"/>
      <c r="J16" s="329"/>
      <c r="K16" s="329"/>
      <c r="L16" s="329"/>
      <c r="M16" s="456"/>
      <c r="N16" s="718"/>
      <c r="O16" s="633"/>
    </row>
    <row r="17" spans="1:15" s="179" customFormat="1" ht="55.5" customHeight="1">
      <c r="A17" s="714" t="s">
        <v>736</v>
      </c>
      <c r="B17" s="711" t="s">
        <v>737</v>
      </c>
      <c r="C17" s="323">
        <v>200000</v>
      </c>
      <c r="D17" s="330"/>
      <c r="E17" s="330"/>
      <c r="F17" s="331"/>
      <c r="G17" s="330"/>
      <c r="H17" s="330"/>
      <c r="I17" s="330"/>
      <c r="J17" s="332"/>
      <c r="K17" s="332"/>
      <c r="L17" s="332"/>
      <c r="M17" s="457"/>
      <c r="N17" s="719"/>
      <c r="O17" s="720"/>
    </row>
    <row r="18" spans="1:15" ht="84" customHeight="1">
      <c r="A18" s="714" t="s">
        <v>817</v>
      </c>
      <c r="B18" s="711" t="s">
        <v>359</v>
      </c>
      <c r="C18" s="323">
        <v>14754.78</v>
      </c>
      <c r="D18" s="333" t="s">
        <v>818</v>
      </c>
      <c r="E18" s="333"/>
      <c r="F18" s="333" t="s">
        <v>818</v>
      </c>
      <c r="G18" s="334"/>
      <c r="H18" s="334" t="s">
        <v>818</v>
      </c>
      <c r="I18" s="334"/>
      <c r="J18" s="334" t="s">
        <v>818</v>
      </c>
      <c r="K18" s="334"/>
      <c r="L18" s="334" t="s">
        <v>818</v>
      </c>
      <c r="M18" s="458"/>
      <c r="N18" s="721"/>
      <c r="O18" s="635"/>
    </row>
    <row r="19" spans="1:15" ht="82.5" customHeight="1">
      <c r="A19" s="714" t="s">
        <v>738</v>
      </c>
      <c r="B19" s="711" t="s">
        <v>883</v>
      </c>
      <c r="C19" s="323">
        <v>56100.99</v>
      </c>
      <c r="D19" s="328"/>
      <c r="E19" s="328"/>
      <c r="F19" s="328"/>
      <c r="G19" s="329"/>
      <c r="H19" s="329"/>
      <c r="I19" s="329"/>
      <c r="J19" s="335"/>
      <c r="K19" s="335"/>
      <c r="L19" s="335"/>
      <c r="M19" s="459"/>
      <c r="N19" s="722"/>
      <c r="O19" s="635"/>
    </row>
    <row r="20" spans="1:15" ht="84" customHeight="1">
      <c r="A20" s="714" t="s">
        <v>738</v>
      </c>
      <c r="B20" s="711" t="s">
        <v>739</v>
      </c>
      <c r="C20" s="323">
        <v>8888.88</v>
      </c>
      <c r="D20" s="328"/>
      <c r="E20" s="328"/>
      <c r="F20" s="328"/>
      <c r="G20" s="329"/>
      <c r="H20" s="329"/>
      <c r="I20" s="329"/>
      <c r="J20" s="335"/>
      <c r="K20" s="335"/>
      <c r="L20" s="335"/>
      <c r="M20" s="459"/>
      <c r="N20" s="722"/>
      <c r="O20" s="635"/>
    </row>
    <row r="21" spans="1:15" ht="330.75" customHeight="1">
      <c r="A21" s="759" t="s">
        <v>834</v>
      </c>
      <c r="B21" s="713" t="s">
        <v>505</v>
      </c>
      <c r="C21" s="336">
        <v>4860000</v>
      </c>
      <c r="D21" s="337"/>
      <c r="E21" s="337"/>
      <c r="F21" s="328"/>
      <c r="G21" s="328"/>
      <c r="H21" s="328"/>
      <c r="I21" s="337"/>
      <c r="J21" s="337"/>
      <c r="K21" s="337"/>
      <c r="L21" s="337"/>
      <c r="M21" s="460"/>
      <c r="N21" s="715" t="s">
        <v>410</v>
      </c>
      <c r="O21" s="716" t="s">
        <v>411</v>
      </c>
    </row>
    <row r="22" spans="1:15" ht="33" customHeight="1" thickBot="1">
      <c r="A22" s="461"/>
      <c r="B22" s="338" t="s">
        <v>446</v>
      </c>
      <c r="C22" s="339">
        <f>SUM(C8:C20)</f>
        <v>20007739.65</v>
      </c>
      <c r="D22" s="1147"/>
      <c r="E22" s="1092"/>
      <c r="F22" s="1092"/>
      <c r="G22" s="1092"/>
      <c r="H22" s="1092"/>
      <c r="I22" s="1092"/>
      <c r="J22" s="1092"/>
      <c r="K22" s="1092"/>
      <c r="L22" s="1092"/>
      <c r="M22" s="1148"/>
      <c r="N22" s="723"/>
      <c r="O22" s="387"/>
    </row>
    <row r="23" spans="1:15" s="110" customFormat="1" ht="30.75" customHeight="1">
      <c r="A23" s="1191" t="s">
        <v>673</v>
      </c>
      <c r="B23" s="341" t="s">
        <v>438</v>
      </c>
      <c r="C23" s="1193" t="s">
        <v>180</v>
      </c>
      <c r="D23" s="1153">
        <v>2011</v>
      </c>
      <c r="E23" s="1153"/>
      <c r="F23" s="1153">
        <v>2012</v>
      </c>
      <c r="G23" s="1153"/>
      <c r="H23" s="1153">
        <v>2013</v>
      </c>
      <c r="I23" s="1153"/>
      <c r="J23" s="1153">
        <v>2014</v>
      </c>
      <c r="K23" s="1153"/>
      <c r="L23" s="1153">
        <v>2015</v>
      </c>
      <c r="M23" s="1154"/>
      <c r="N23" s="1149" t="s">
        <v>515</v>
      </c>
      <c r="O23" s="1150"/>
    </row>
    <row r="24" spans="1:15" s="110" customFormat="1" ht="27.75" customHeight="1">
      <c r="A24" s="1192"/>
      <c r="B24" s="15" t="s">
        <v>179</v>
      </c>
      <c r="C24" s="1194"/>
      <c r="D24" s="15" t="s">
        <v>182</v>
      </c>
      <c r="E24" s="15" t="s">
        <v>181</v>
      </c>
      <c r="F24" s="15" t="s">
        <v>182</v>
      </c>
      <c r="G24" s="15" t="s">
        <v>181</v>
      </c>
      <c r="H24" s="15" t="s">
        <v>182</v>
      </c>
      <c r="I24" s="15" t="s">
        <v>181</v>
      </c>
      <c r="J24" s="15" t="s">
        <v>182</v>
      </c>
      <c r="K24" s="15" t="s">
        <v>181</v>
      </c>
      <c r="L24" s="15" t="s">
        <v>182</v>
      </c>
      <c r="M24" s="111" t="s">
        <v>181</v>
      </c>
      <c r="N24" s="1151"/>
      <c r="O24" s="1152"/>
    </row>
    <row r="25" spans="1:15" s="89" customFormat="1" ht="29.25" customHeight="1">
      <c r="A25" s="737" t="s">
        <v>825</v>
      </c>
      <c r="B25" s="724" t="s">
        <v>874</v>
      </c>
      <c r="C25" s="1162">
        <v>11500000</v>
      </c>
      <c r="D25" s="334"/>
      <c r="E25" s="334"/>
      <c r="F25" s="343"/>
      <c r="G25" s="344"/>
      <c r="H25" s="344"/>
      <c r="I25" s="344"/>
      <c r="J25" s="335"/>
      <c r="K25" s="335"/>
      <c r="L25" s="335"/>
      <c r="M25" s="459"/>
      <c r="N25" s="731"/>
      <c r="O25" s="732"/>
    </row>
    <row r="26" spans="1:15" s="89" customFormat="1" ht="27.75" customHeight="1">
      <c r="A26" s="737" t="s">
        <v>825</v>
      </c>
      <c r="B26" s="724" t="s">
        <v>875</v>
      </c>
      <c r="C26" s="1162"/>
      <c r="D26" s="345"/>
      <c r="E26" s="345"/>
      <c r="F26" s="334"/>
      <c r="G26" s="334"/>
      <c r="H26" s="344"/>
      <c r="I26" s="344"/>
      <c r="J26" s="335"/>
      <c r="K26" s="335"/>
      <c r="L26" s="335"/>
      <c r="M26" s="459"/>
      <c r="N26" s="731"/>
      <c r="O26" s="732"/>
    </row>
    <row r="27" spans="1:15" s="89" customFormat="1" ht="32.25" customHeight="1">
      <c r="A27" s="737" t="s">
        <v>825</v>
      </c>
      <c r="B27" s="724" t="s">
        <v>876</v>
      </c>
      <c r="C27" s="1162"/>
      <c r="D27" s="345"/>
      <c r="E27" s="345"/>
      <c r="F27" s="345"/>
      <c r="G27" s="345"/>
      <c r="H27" s="334"/>
      <c r="I27" s="334"/>
      <c r="J27" s="335"/>
      <c r="K27" s="335"/>
      <c r="L27" s="335"/>
      <c r="M27" s="459"/>
      <c r="N27" s="731"/>
      <c r="O27" s="732"/>
    </row>
    <row r="28" spans="1:15" s="89" customFormat="1" ht="28.5" customHeight="1">
      <c r="A28" s="737" t="s">
        <v>825</v>
      </c>
      <c r="B28" s="724" t="s">
        <v>877</v>
      </c>
      <c r="C28" s="1162"/>
      <c r="D28" s="343"/>
      <c r="E28" s="343"/>
      <c r="F28" s="343"/>
      <c r="G28" s="343"/>
      <c r="H28" s="345"/>
      <c r="I28" s="345"/>
      <c r="J28" s="334"/>
      <c r="K28" s="334"/>
      <c r="L28" s="335"/>
      <c r="M28" s="459"/>
      <c r="N28" s="731"/>
      <c r="O28" s="732"/>
    </row>
    <row r="29" spans="1:15" ht="29.25" customHeight="1">
      <c r="A29" s="737" t="s">
        <v>825</v>
      </c>
      <c r="B29" s="724" t="s">
        <v>878</v>
      </c>
      <c r="C29" s="1162"/>
      <c r="D29" s="346"/>
      <c r="E29" s="346"/>
      <c r="F29" s="346"/>
      <c r="G29" s="346"/>
      <c r="H29" s="346"/>
      <c r="I29" s="346"/>
      <c r="J29" s="346"/>
      <c r="K29" s="346"/>
      <c r="L29" s="346"/>
      <c r="M29" s="462"/>
      <c r="N29" s="733"/>
      <c r="O29" s="636"/>
    </row>
    <row r="30" spans="1:15" ht="41.25" customHeight="1">
      <c r="A30" s="737" t="s">
        <v>825</v>
      </c>
      <c r="B30" s="724" t="s">
        <v>879</v>
      </c>
      <c r="C30" s="1162"/>
      <c r="D30" s="347"/>
      <c r="E30" s="347"/>
      <c r="F30" s="347"/>
      <c r="G30" s="347"/>
      <c r="H30" s="347"/>
      <c r="I30" s="347"/>
      <c r="J30" s="347"/>
      <c r="K30" s="347"/>
      <c r="L30" s="347"/>
      <c r="M30" s="463"/>
      <c r="N30" s="733"/>
      <c r="O30" s="636"/>
    </row>
    <row r="31" spans="1:15" s="110" customFormat="1" ht="42.75" customHeight="1">
      <c r="A31" s="737" t="s">
        <v>825</v>
      </c>
      <c r="B31" s="724" t="s">
        <v>829</v>
      </c>
      <c r="C31" s="342">
        <v>158175.9</v>
      </c>
      <c r="D31" s="320"/>
      <c r="E31" s="320"/>
      <c r="F31" s="320"/>
      <c r="G31" s="320"/>
      <c r="H31" s="320"/>
      <c r="I31" s="320"/>
      <c r="J31" s="318"/>
      <c r="K31" s="318"/>
      <c r="L31" s="318"/>
      <c r="M31" s="383"/>
      <c r="N31" s="715" t="s">
        <v>510</v>
      </c>
      <c r="O31" s="734"/>
    </row>
    <row r="32" spans="1:15" s="110" customFormat="1" ht="42.75" customHeight="1">
      <c r="A32" s="737" t="s">
        <v>825</v>
      </c>
      <c r="B32" s="724" t="s">
        <v>882</v>
      </c>
      <c r="C32" s="342">
        <v>1215380.58</v>
      </c>
      <c r="D32" s="320"/>
      <c r="E32" s="320"/>
      <c r="F32" s="320"/>
      <c r="G32" s="320"/>
      <c r="H32" s="320"/>
      <c r="I32" s="320"/>
      <c r="J32" s="318"/>
      <c r="K32" s="318"/>
      <c r="L32" s="318"/>
      <c r="M32" s="383"/>
      <c r="N32" s="727" t="s">
        <v>312</v>
      </c>
      <c r="O32" s="734"/>
    </row>
    <row r="33" spans="1:15" s="180" customFormat="1" ht="25.5" customHeight="1">
      <c r="A33" s="737" t="s">
        <v>533</v>
      </c>
      <c r="B33" s="724" t="s">
        <v>821</v>
      </c>
      <c r="C33" s="342">
        <f>100*1400*12*4</f>
        <v>6720000</v>
      </c>
      <c r="D33" s="348"/>
      <c r="E33" s="348"/>
      <c r="F33" s="348"/>
      <c r="G33" s="348"/>
      <c r="H33" s="348"/>
      <c r="I33" s="348"/>
      <c r="J33" s="348"/>
      <c r="K33" s="348"/>
      <c r="L33" s="348"/>
      <c r="M33" s="464"/>
      <c r="N33" s="728"/>
      <c r="O33" s="729"/>
    </row>
    <row r="34" spans="1:15" ht="43.5" customHeight="1">
      <c r="A34" s="737" t="s">
        <v>738</v>
      </c>
      <c r="B34" s="724" t="s">
        <v>884</v>
      </c>
      <c r="C34" s="342">
        <v>84000</v>
      </c>
      <c r="D34" s="328"/>
      <c r="E34" s="328"/>
      <c r="F34" s="328"/>
      <c r="G34" s="329"/>
      <c r="H34" s="329"/>
      <c r="I34" s="329"/>
      <c r="J34" s="335"/>
      <c r="K34" s="335"/>
      <c r="L34" s="335"/>
      <c r="M34" s="459"/>
      <c r="N34" s="733"/>
      <c r="O34" s="636"/>
    </row>
    <row r="35" spans="1:15" ht="51" customHeight="1">
      <c r="A35" s="737" t="s">
        <v>749</v>
      </c>
      <c r="B35" s="724" t="s">
        <v>894</v>
      </c>
      <c r="C35" s="342">
        <v>143913</v>
      </c>
      <c r="D35" s="328"/>
      <c r="E35" s="328"/>
      <c r="F35" s="328"/>
      <c r="G35" s="329"/>
      <c r="H35" s="329"/>
      <c r="I35" s="329"/>
      <c r="J35" s="335"/>
      <c r="K35" s="335"/>
      <c r="L35" s="335"/>
      <c r="M35" s="459"/>
      <c r="N35" s="733"/>
      <c r="O35" s="636"/>
    </row>
    <row r="36" spans="1:15" ht="59.25" customHeight="1">
      <c r="A36" s="737" t="s">
        <v>668</v>
      </c>
      <c r="B36" s="724" t="s">
        <v>815</v>
      </c>
      <c r="C36" s="342">
        <v>252000</v>
      </c>
      <c r="D36" s="328"/>
      <c r="E36" s="328"/>
      <c r="F36" s="328"/>
      <c r="G36" s="329"/>
      <c r="H36" s="329"/>
      <c r="I36" s="329"/>
      <c r="J36" s="335"/>
      <c r="K36" s="335"/>
      <c r="L36" s="335"/>
      <c r="M36" s="459"/>
      <c r="N36" s="733"/>
      <c r="O36" s="636"/>
    </row>
    <row r="37" spans="1:15" ht="60" customHeight="1">
      <c r="A37" s="737" t="s">
        <v>817</v>
      </c>
      <c r="B37" s="724" t="s">
        <v>412</v>
      </c>
      <c r="C37" s="342">
        <v>546000</v>
      </c>
      <c r="D37" s="333" t="s">
        <v>818</v>
      </c>
      <c r="E37" s="333"/>
      <c r="F37" s="333"/>
      <c r="G37" s="328"/>
      <c r="H37" s="328"/>
      <c r="I37" s="328"/>
      <c r="J37" s="328"/>
      <c r="K37" s="329"/>
      <c r="L37" s="329"/>
      <c r="M37" s="456"/>
      <c r="N37" s="733"/>
      <c r="O37" s="636"/>
    </row>
    <row r="38" spans="1:15" s="89" customFormat="1" ht="37.5" customHeight="1">
      <c r="A38" s="737" t="s">
        <v>820</v>
      </c>
      <c r="B38" s="724" t="s">
        <v>733</v>
      </c>
      <c r="C38" s="342">
        <v>300000</v>
      </c>
      <c r="D38" s="334"/>
      <c r="E38" s="334"/>
      <c r="F38" s="334"/>
      <c r="G38" s="349"/>
      <c r="H38" s="349"/>
      <c r="I38" s="349"/>
      <c r="J38" s="335"/>
      <c r="K38" s="335"/>
      <c r="L38" s="335"/>
      <c r="M38" s="459"/>
      <c r="N38" s="731"/>
      <c r="O38" s="732"/>
    </row>
    <row r="39" spans="1:15" s="89" customFormat="1" ht="51" customHeight="1">
      <c r="A39" s="737" t="s">
        <v>823</v>
      </c>
      <c r="B39" s="724" t="s">
        <v>734</v>
      </c>
      <c r="C39" s="342">
        <v>85120</v>
      </c>
      <c r="D39" s="334"/>
      <c r="E39" s="334"/>
      <c r="F39" s="334"/>
      <c r="G39" s="334"/>
      <c r="H39" s="344"/>
      <c r="I39" s="344"/>
      <c r="J39" s="344"/>
      <c r="K39" s="344"/>
      <c r="L39" s="344"/>
      <c r="M39" s="465"/>
      <c r="N39" s="731"/>
      <c r="O39" s="732"/>
    </row>
    <row r="40" spans="1:15" ht="53.25" customHeight="1">
      <c r="A40" s="737" t="s">
        <v>823</v>
      </c>
      <c r="B40" s="724" t="s">
        <v>514</v>
      </c>
      <c r="C40" s="342">
        <v>216000</v>
      </c>
      <c r="D40" s="350"/>
      <c r="E40" s="350"/>
      <c r="F40" s="350"/>
      <c r="G40" s="334"/>
      <c r="H40" s="334"/>
      <c r="I40" s="334"/>
      <c r="J40" s="345"/>
      <c r="K40" s="345"/>
      <c r="L40" s="345"/>
      <c r="M40" s="466"/>
      <c r="N40" s="733"/>
      <c r="O40" s="636"/>
    </row>
    <row r="41" spans="1:15" ht="49.5" customHeight="1">
      <c r="A41" s="737" t="s">
        <v>817</v>
      </c>
      <c r="B41" s="724" t="s">
        <v>896</v>
      </c>
      <c r="C41" s="342">
        <v>85120</v>
      </c>
      <c r="D41" s="333" t="s">
        <v>818</v>
      </c>
      <c r="E41" s="333"/>
      <c r="F41" s="333"/>
      <c r="G41" s="328" t="s">
        <v>818</v>
      </c>
      <c r="H41" s="328"/>
      <c r="I41" s="328"/>
      <c r="J41" s="328"/>
      <c r="K41" s="329"/>
      <c r="L41" s="329"/>
      <c r="M41" s="456"/>
      <c r="N41" s="733"/>
      <c r="O41" s="636"/>
    </row>
    <row r="42" spans="1:15" ht="39.75" customHeight="1">
      <c r="A42" s="737" t="s">
        <v>748</v>
      </c>
      <c r="B42" s="724" t="s">
        <v>746</v>
      </c>
      <c r="C42" s="342">
        <v>45600</v>
      </c>
      <c r="D42" s="328"/>
      <c r="E42" s="328"/>
      <c r="F42" s="328"/>
      <c r="G42" s="329"/>
      <c r="H42" s="329"/>
      <c r="I42" s="329"/>
      <c r="J42" s="335"/>
      <c r="K42" s="335"/>
      <c r="L42" s="335"/>
      <c r="M42" s="459"/>
      <c r="N42" s="733"/>
      <c r="O42" s="636"/>
    </row>
    <row r="43" spans="1:15" s="110" customFormat="1" ht="34.5" customHeight="1">
      <c r="A43" s="737" t="s">
        <v>825</v>
      </c>
      <c r="B43" s="724" t="s">
        <v>835</v>
      </c>
      <c r="C43" s="342">
        <v>3500000</v>
      </c>
      <c r="D43" s="319"/>
      <c r="E43" s="319"/>
      <c r="F43" s="319"/>
      <c r="G43" s="319"/>
      <c r="H43" s="319"/>
      <c r="I43" s="319"/>
      <c r="J43" s="318"/>
      <c r="K43" s="318"/>
      <c r="L43" s="318"/>
      <c r="M43" s="383"/>
      <c r="N43" s="735"/>
      <c r="O43" s="734"/>
    </row>
    <row r="44" spans="1:15" s="110" customFormat="1" ht="30.75" customHeight="1">
      <c r="A44" s="737" t="s">
        <v>825</v>
      </c>
      <c r="B44" s="724" t="s">
        <v>899</v>
      </c>
      <c r="C44" s="342">
        <v>5024122.91</v>
      </c>
      <c r="D44" s="328"/>
      <c r="E44" s="328"/>
      <c r="F44" s="327"/>
      <c r="G44" s="327"/>
      <c r="H44" s="327"/>
      <c r="I44" s="327"/>
      <c r="J44" s="327"/>
      <c r="K44" s="327"/>
      <c r="L44" s="327"/>
      <c r="M44" s="455"/>
      <c r="N44" s="715" t="s">
        <v>500</v>
      </c>
      <c r="O44" s="734"/>
    </row>
    <row r="45" spans="1:15" s="110" customFormat="1" ht="54.75" customHeight="1">
      <c r="A45" s="737" t="s">
        <v>825</v>
      </c>
      <c r="B45" s="724" t="s">
        <v>827</v>
      </c>
      <c r="C45" s="342">
        <v>2391.68</v>
      </c>
      <c r="D45" s="320"/>
      <c r="E45" s="320"/>
      <c r="F45" s="320"/>
      <c r="G45" s="320"/>
      <c r="H45" s="327"/>
      <c r="I45" s="327"/>
      <c r="J45" s="327"/>
      <c r="K45" s="327"/>
      <c r="L45" s="327"/>
      <c r="M45" s="455"/>
      <c r="N45" s="727" t="s">
        <v>309</v>
      </c>
      <c r="O45" s="734"/>
    </row>
    <row r="46" spans="1:15" s="110" customFormat="1" ht="67.5" customHeight="1">
      <c r="A46" s="737" t="s">
        <v>825</v>
      </c>
      <c r="B46" s="724" t="s">
        <v>886</v>
      </c>
      <c r="C46" s="342">
        <v>22382.78</v>
      </c>
      <c r="D46" s="320"/>
      <c r="E46" s="320"/>
      <c r="F46" s="327"/>
      <c r="G46" s="327"/>
      <c r="H46" s="327"/>
      <c r="I46" s="327"/>
      <c r="J46" s="327"/>
      <c r="K46" s="327"/>
      <c r="L46" s="327"/>
      <c r="M46" s="455"/>
      <c r="N46" s="727" t="s">
        <v>310</v>
      </c>
      <c r="O46" s="734"/>
    </row>
    <row r="47" spans="1:15" s="110" customFormat="1" ht="80.25" customHeight="1">
      <c r="A47" s="737" t="s">
        <v>825</v>
      </c>
      <c r="B47" s="724" t="s">
        <v>511</v>
      </c>
      <c r="C47" s="351">
        <v>98000</v>
      </c>
      <c r="D47" s="320"/>
      <c r="E47" s="320"/>
      <c r="F47" s="320"/>
      <c r="G47" s="320"/>
      <c r="H47" s="320"/>
      <c r="I47" s="320"/>
      <c r="J47" s="319"/>
      <c r="K47" s="319"/>
      <c r="L47" s="319"/>
      <c r="M47" s="467"/>
      <c r="N47" s="715" t="s">
        <v>512</v>
      </c>
      <c r="O47" s="734"/>
    </row>
    <row r="48" spans="1:15" s="110" customFormat="1" ht="66.75" customHeight="1">
      <c r="A48" s="737" t="s">
        <v>825</v>
      </c>
      <c r="B48" s="724" t="s">
        <v>886</v>
      </c>
      <c r="C48" s="342">
        <v>150000</v>
      </c>
      <c r="D48" s="320"/>
      <c r="E48" s="320"/>
      <c r="F48" s="320"/>
      <c r="G48" s="320"/>
      <c r="H48" s="320"/>
      <c r="I48" s="320"/>
      <c r="J48" s="319"/>
      <c r="K48" s="319"/>
      <c r="L48" s="319"/>
      <c r="M48" s="467"/>
      <c r="N48" s="735"/>
      <c r="O48" s="734"/>
    </row>
    <row r="49" spans="1:15" s="110" customFormat="1" ht="69" customHeight="1">
      <c r="A49" s="737" t="s">
        <v>825</v>
      </c>
      <c r="B49" s="724" t="s">
        <v>831</v>
      </c>
      <c r="C49" s="342">
        <v>18000</v>
      </c>
      <c r="D49" s="320"/>
      <c r="E49" s="320"/>
      <c r="F49" s="320"/>
      <c r="G49" s="320"/>
      <c r="H49" s="320"/>
      <c r="I49" s="320"/>
      <c r="J49" s="318"/>
      <c r="K49" s="318"/>
      <c r="L49" s="318"/>
      <c r="M49" s="383"/>
      <c r="N49" s="715" t="s">
        <v>309</v>
      </c>
      <c r="O49" s="734"/>
    </row>
    <row r="50" spans="1:15" s="110" customFormat="1" ht="100.5" customHeight="1">
      <c r="A50" s="737" t="s">
        <v>825</v>
      </c>
      <c r="B50" s="725" t="s">
        <v>65</v>
      </c>
      <c r="C50" s="351">
        <v>4938000</v>
      </c>
      <c r="D50" s="320"/>
      <c r="E50" s="320"/>
      <c r="F50" s="352"/>
      <c r="G50" s="319"/>
      <c r="H50" s="319"/>
      <c r="I50" s="319"/>
      <c r="J50" s="318"/>
      <c r="K50" s="318"/>
      <c r="L50" s="318"/>
      <c r="M50" s="383"/>
      <c r="N50" s="715" t="s">
        <v>297</v>
      </c>
      <c r="O50" s="716" t="s">
        <v>298</v>
      </c>
    </row>
    <row r="51" spans="1:15" s="110" customFormat="1" ht="43.5" customHeight="1">
      <c r="A51" s="737" t="s">
        <v>834</v>
      </c>
      <c r="B51" s="726" t="s">
        <v>494</v>
      </c>
      <c r="C51" s="342"/>
      <c r="D51" s="320"/>
      <c r="E51" s="320"/>
      <c r="F51" s="352"/>
      <c r="G51" s="319"/>
      <c r="H51" s="319"/>
      <c r="I51" s="319"/>
      <c r="J51" s="318"/>
      <c r="K51" s="318"/>
      <c r="L51" s="318"/>
      <c r="M51" s="383"/>
      <c r="N51" s="717" t="s">
        <v>506</v>
      </c>
      <c r="O51" s="734"/>
    </row>
    <row r="52" spans="1:15" ht="80.25" customHeight="1">
      <c r="A52" s="737" t="s">
        <v>738</v>
      </c>
      <c r="B52" s="724" t="s">
        <v>887</v>
      </c>
      <c r="C52" s="342">
        <v>31251.46</v>
      </c>
      <c r="D52" s="328"/>
      <c r="E52" s="328"/>
      <c r="F52" s="328"/>
      <c r="G52" s="329"/>
      <c r="H52" s="329"/>
      <c r="I52" s="329"/>
      <c r="J52" s="335"/>
      <c r="K52" s="335"/>
      <c r="L52" s="335"/>
      <c r="M52" s="459"/>
      <c r="N52" s="733"/>
      <c r="O52" s="636"/>
    </row>
    <row r="53" spans="1:15" ht="81.75" customHeight="1">
      <c r="A53" s="737" t="s">
        <v>738</v>
      </c>
      <c r="B53" s="724" t="s">
        <v>888</v>
      </c>
      <c r="C53" s="342">
        <v>28502.5</v>
      </c>
      <c r="D53" s="328"/>
      <c r="E53" s="328"/>
      <c r="F53" s="328"/>
      <c r="G53" s="329"/>
      <c r="H53" s="329"/>
      <c r="I53" s="329"/>
      <c r="J53" s="335"/>
      <c r="K53" s="335"/>
      <c r="L53" s="335"/>
      <c r="M53" s="459"/>
      <c r="N53" s="733"/>
      <c r="O53" s="636"/>
    </row>
    <row r="54" spans="1:15" ht="69.75" customHeight="1">
      <c r="A54" s="737" t="s">
        <v>738</v>
      </c>
      <c r="B54" s="724" t="s">
        <v>740</v>
      </c>
      <c r="C54" s="342">
        <v>3747.25</v>
      </c>
      <c r="D54" s="328"/>
      <c r="E54" s="328"/>
      <c r="F54" s="328"/>
      <c r="G54" s="329"/>
      <c r="H54" s="329"/>
      <c r="I54" s="329"/>
      <c r="J54" s="335"/>
      <c r="K54" s="335"/>
      <c r="L54" s="335"/>
      <c r="M54" s="459"/>
      <c r="N54" s="733"/>
      <c r="O54" s="636"/>
    </row>
    <row r="55" spans="1:15" ht="43.5" customHeight="1">
      <c r="A55" s="737" t="s">
        <v>738</v>
      </c>
      <c r="B55" s="724" t="s">
        <v>413</v>
      </c>
      <c r="C55" s="342">
        <v>13627.1</v>
      </c>
      <c r="D55" s="328"/>
      <c r="E55" s="328"/>
      <c r="F55" s="328"/>
      <c r="G55" s="329"/>
      <c r="H55" s="329"/>
      <c r="I55" s="329"/>
      <c r="J55" s="335"/>
      <c r="K55" s="335"/>
      <c r="L55" s="335"/>
      <c r="M55" s="459"/>
      <c r="N55" s="733"/>
      <c r="O55" s="636"/>
    </row>
    <row r="56" spans="1:15" ht="126.75" customHeight="1">
      <c r="A56" s="737" t="s">
        <v>738</v>
      </c>
      <c r="B56" s="738" t="s">
        <v>66</v>
      </c>
      <c r="C56" s="353">
        <v>4884000</v>
      </c>
      <c r="D56" s="328"/>
      <c r="E56" s="328"/>
      <c r="F56" s="328"/>
      <c r="G56" s="329"/>
      <c r="H56" s="329"/>
      <c r="I56" s="329"/>
      <c r="J56" s="335"/>
      <c r="K56" s="335"/>
      <c r="L56" s="335"/>
      <c r="M56" s="459"/>
      <c r="N56" s="715" t="s">
        <v>299</v>
      </c>
      <c r="O56" s="716" t="s">
        <v>300</v>
      </c>
    </row>
    <row r="57" spans="1:15" ht="41.25" customHeight="1">
      <c r="A57" s="737" t="s">
        <v>748</v>
      </c>
      <c r="B57" s="739" t="s">
        <v>741</v>
      </c>
      <c r="C57" s="342">
        <v>37223.76</v>
      </c>
      <c r="D57" s="328"/>
      <c r="E57" s="328"/>
      <c r="F57" s="328"/>
      <c r="G57" s="329"/>
      <c r="H57" s="329"/>
      <c r="I57" s="329"/>
      <c r="J57" s="335"/>
      <c r="K57" s="335"/>
      <c r="L57" s="335"/>
      <c r="M57" s="459"/>
      <c r="N57" s="733"/>
      <c r="O57" s="636"/>
    </row>
    <row r="58" spans="1:15" ht="39" customHeight="1">
      <c r="A58" s="737" t="s">
        <v>748</v>
      </c>
      <c r="B58" s="739" t="s">
        <v>742</v>
      </c>
      <c r="C58" s="342">
        <v>500</v>
      </c>
      <c r="D58" s="328"/>
      <c r="E58" s="328"/>
      <c r="F58" s="328"/>
      <c r="G58" s="329"/>
      <c r="H58" s="329"/>
      <c r="I58" s="329"/>
      <c r="J58" s="335"/>
      <c r="K58" s="335"/>
      <c r="L58" s="335"/>
      <c r="M58" s="459"/>
      <c r="N58" s="733"/>
      <c r="O58" s="636"/>
    </row>
    <row r="59" spans="1:15" ht="39" customHeight="1">
      <c r="A59" s="737" t="s">
        <v>748</v>
      </c>
      <c r="B59" s="739" t="s">
        <v>743</v>
      </c>
      <c r="C59" s="342">
        <v>5300</v>
      </c>
      <c r="D59" s="328"/>
      <c r="E59" s="328"/>
      <c r="F59" s="328"/>
      <c r="G59" s="329"/>
      <c r="H59" s="329"/>
      <c r="I59" s="329"/>
      <c r="J59" s="335"/>
      <c r="K59" s="335"/>
      <c r="L59" s="335"/>
      <c r="M59" s="459"/>
      <c r="N59" s="733"/>
      <c r="O59" s="636"/>
    </row>
    <row r="60" spans="1:15" ht="46.5" customHeight="1">
      <c r="A60" s="737" t="s">
        <v>748</v>
      </c>
      <c r="B60" s="739" t="s">
        <v>744</v>
      </c>
      <c r="C60" s="342">
        <v>730</v>
      </c>
      <c r="D60" s="328"/>
      <c r="E60" s="328"/>
      <c r="F60" s="328"/>
      <c r="G60" s="329"/>
      <c r="H60" s="329"/>
      <c r="I60" s="329"/>
      <c r="J60" s="335"/>
      <c r="K60" s="335"/>
      <c r="L60" s="335"/>
      <c r="M60" s="459"/>
      <c r="N60" s="733"/>
      <c r="O60" s="636"/>
    </row>
    <row r="61" spans="1:15" ht="99.75" customHeight="1">
      <c r="A61" s="737" t="s">
        <v>748</v>
      </c>
      <c r="B61" s="739" t="s">
        <v>745</v>
      </c>
      <c r="C61" s="342">
        <v>3500</v>
      </c>
      <c r="D61" s="328"/>
      <c r="E61" s="328"/>
      <c r="F61" s="328"/>
      <c r="G61" s="329"/>
      <c r="H61" s="329"/>
      <c r="I61" s="329"/>
      <c r="J61" s="335"/>
      <c r="K61" s="335"/>
      <c r="L61" s="335"/>
      <c r="M61" s="459"/>
      <c r="N61" s="733"/>
      <c r="O61" s="736"/>
    </row>
    <row r="62" spans="1:15" ht="45.75" customHeight="1">
      <c r="A62" s="737" t="s">
        <v>748</v>
      </c>
      <c r="B62" s="739" t="s">
        <v>889</v>
      </c>
      <c r="C62" s="342">
        <v>5500</v>
      </c>
      <c r="D62" s="328"/>
      <c r="E62" s="328"/>
      <c r="F62" s="328"/>
      <c r="G62" s="329"/>
      <c r="H62" s="329"/>
      <c r="I62" s="329"/>
      <c r="J62" s="335"/>
      <c r="K62" s="335"/>
      <c r="L62" s="335"/>
      <c r="M62" s="459"/>
      <c r="N62" s="733"/>
      <c r="O62" s="636"/>
    </row>
    <row r="63" spans="1:15" ht="41.25" customHeight="1">
      <c r="A63" s="737" t="s">
        <v>748</v>
      </c>
      <c r="B63" s="739" t="s">
        <v>358</v>
      </c>
      <c r="C63" s="342">
        <v>13000</v>
      </c>
      <c r="D63" s="328"/>
      <c r="E63" s="328"/>
      <c r="F63" s="328"/>
      <c r="G63" s="329"/>
      <c r="H63" s="329"/>
      <c r="I63" s="329"/>
      <c r="J63" s="335"/>
      <c r="K63" s="335"/>
      <c r="L63" s="335"/>
      <c r="M63" s="459"/>
      <c r="N63" s="733"/>
      <c r="O63" s="636"/>
    </row>
    <row r="64" spans="1:15" ht="51" customHeight="1">
      <c r="A64" s="737" t="s">
        <v>749</v>
      </c>
      <c r="B64" s="739" t="s">
        <v>890</v>
      </c>
      <c r="C64" s="342">
        <v>14964.4</v>
      </c>
      <c r="D64" s="328"/>
      <c r="E64" s="328"/>
      <c r="F64" s="328"/>
      <c r="G64" s="329"/>
      <c r="H64" s="329"/>
      <c r="I64" s="329"/>
      <c r="J64" s="335"/>
      <c r="K64" s="335"/>
      <c r="L64" s="335"/>
      <c r="M64" s="459"/>
      <c r="N64" s="733"/>
      <c r="O64" s="636"/>
    </row>
    <row r="65" spans="1:15" ht="75.75" customHeight="1">
      <c r="A65" s="737" t="s">
        <v>749</v>
      </c>
      <c r="B65" s="739" t="s">
        <v>891</v>
      </c>
      <c r="C65" s="342">
        <v>23354.43</v>
      </c>
      <c r="D65" s="328"/>
      <c r="E65" s="328"/>
      <c r="F65" s="328"/>
      <c r="G65" s="329"/>
      <c r="H65" s="329"/>
      <c r="I65" s="329"/>
      <c r="J65" s="335"/>
      <c r="K65" s="335"/>
      <c r="L65" s="335"/>
      <c r="M65" s="459"/>
      <c r="N65" s="733"/>
      <c r="O65" s="636"/>
    </row>
    <row r="66" spans="1:15" ht="49.5" customHeight="1">
      <c r="A66" s="737" t="s">
        <v>749</v>
      </c>
      <c r="B66" s="739" t="s">
        <v>730</v>
      </c>
      <c r="C66" s="342">
        <v>5199.31</v>
      </c>
      <c r="D66" s="328"/>
      <c r="E66" s="328"/>
      <c r="F66" s="328"/>
      <c r="G66" s="329"/>
      <c r="H66" s="329"/>
      <c r="I66" s="329"/>
      <c r="J66" s="335"/>
      <c r="K66" s="335"/>
      <c r="L66" s="335"/>
      <c r="M66" s="459"/>
      <c r="N66" s="733"/>
      <c r="O66" s="636"/>
    </row>
    <row r="67" spans="1:15" ht="51.75" customHeight="1">
      <c r="A67" s="737" t="s">
        <v>749</v>
      </c>
      <c r="B67" s="739" t="s">
        <v>892</v>
      </c>
      <c r="C67" s="342">
        <v>10759.29</v>
      </c>
      <c r="D67" s="328"/>
      <c r="E67" s="328"/>
      <c r="F67" s="328"/>
      <c r="G67" s="329"/>
      <c r="H67" s="329"/>
      <c r="I67" s="329"/>
      <c r="J67" s="335"/>
      <c r="K67" s="335"/>
      <c r="L67" s="335"/>
      <c r="M67" s="459"/>
      <c r="N67" s="733"/>
      <c r="O67" s="636"/>
    </row>
    <row r="68" spans="1:15" ht="75" customHeight="1">
      <c r="A68" s="737" t="s">
        <v>749</v>
      </c>
      <c r="B68" s="739" t="s">
        <v>893</v>
      </c>
      <c r="C68" s="342">
        <v>19392</v>
      </c>
      <c r="D68" s="328"/>
      <c r="E68" s="328"/>
      <c r="F68" s="328"/>
      <c r="G68" s="329"/>
      <c r="H68" s="329"/>
      <c r="I68" s="329"/>
      <c r="J68" s="335"/>
      <c r="K68" s="335"/>
      <c r="L68" s="335"/>
      <c r="M68" s="459"/>
      <c r="N68" s="733"/>
      <c r="O68" s="636"/>
    </row>
    <row r="69" spans="1:15" ht="74.25" customHeight="1">
      <c r="A69" s="737" t="s">
        <v>749</v>
      </c>
      <c r="B69" s="739" t="s">
        <v>895</v>
      </c>
      <c r="C69" s="342">
        <v>19489.43</v>
      </c>
      <c r="D69" s="328"/>
      <c r="E69" s="328"/>
      <c r="F69" s="328"/>
      <c r="G69" s="329"/>
      <c r="H69" s="329"/>
      <c r="I69" s="329"/>
      <c r="J69" s="335"/>
      <c r="K69" s="335"/>
      <c r="L69" s="335"/>
      <c r="M69" s="459"/>
      <c r="N69" s="733"/>
      <c r="O69" s="636"/>
    </row>
    <row r="70" spans="1:15" ht="46.5" customHeight="1">
      <c r="A70" s="737" t="s">
        <v>668</v>
      </c>
      <c r="B70" s="739" t="s">
        <v>813</v>
      </c>
      <c r="C70" s="342">
        <v>42430</v>
      </c>
      <c r="D70" s="328"/>
      <c r="E70" s="328"/>
      <c r="F70" s="328"/>
      <c r="G70" s="329"/>
      <c r="H70" s="329"/>
      <c r="I70" s="329"/>
      <c r="J70" s="335"/>
      <c r="K70" s="335"/>
      <c r="L70" s="335"/>
      <c r="M70" s="459"/>
      <c r="N70" s="733"/>
      <c r="O70" s="636"/>
    </row>
    <row r="71" spans="1:15" ht="45.75" customHeight="1">
      <c r="A71" s="737" t="s">
        <v>668</v>
      </c>
      <c r="B71" s="739" t="s">
        <v>814</v>
      </c>
      <c r="C71" s="342">
        <v>14040</v>
      </c>
      <c r="D71" s="328"/>
      <c r="E71" s="328"/>
      <c r="F71" s="328"/>
      <c r="G71" s="329"/>
      <c r="H71" s="329"/>
      <c r="I71" s="329"/>
      <c r="J71" s="335"/>
      <c r="K71" s="335"/>
      <c r="L71" s="335"/>
      <c r="M71" s="459"/>
      <c r="N71" s="733"/>
      <c r="O71" s="636"/>
    </row>
    <row r="72" spans="1:15" ht="39" customHeight="1">
      <c r="A72" s="737" t="s">
        <v>668</v>
      </c>
      <c r="B72" s="739" t="s">
        <v>816</v>
      </c>
      <c r="C72" s="342">
        <v>9946</v>
      </c>
      <c r="D72" s="328"/>
      <c r="E72" s="328"/>
      <c r="F72" s="328"/>
      <c r="G72" s="329"/>
      <c r="H72" s="329"/>
      <c r="I72" s="329"/>
      <c r="J72" s="335"/>
      <c r="K72" s="335"/>
      <c r="L72" s="335"/>
      <c r="M72" s="459"/>
      <c r="N72" s="733"/>
      <c r="O72" s="636"/>
    </row>
    <row r="73" spans="1:15" ht="82.5" customHeight="1">
      <c r="A73" s="737" t="s">
        <v>817</v>
      </c>
      <c r="B73" s="739" t="s">
        <v>360</v>
      </c>
      <c r="C73" s="342">
        <v>17333</v>
      </c>
      <c r="D73" s="333" t="s">
        <v>818</v>
      </c>
      <c r="E73" s="333"/>
      <c r="F73" s="333" t="s">
        <v>818</v>
      </c>
      <c r="G73" s="334"/>
      <c r="H73" s="334" t="s">
        <v>818</v>
      </c>
      <c r="I73" s="334"/>
      <c r="J73" s="334" t="s">
        <v>818</v>
      </c>
      <c r="K73" s="334"/>
      <c r="L73" s="334" t="s">
        <v>818</v>
      </c>
      <c r="M73" s="458"/>
      <c r="N73" s="733"/>
      <c r="O73" s="636"/>
    </row>
    <row r="74" spans="1:15" ht="54.75" customHeight="1">
      <c r="A74" s="737" t="s">
        <v>817</v>
      </c>
      <c r="B74" s="739" t="s">
        <v>361</v>
      </c>
      <c r="C74" s="342">
        <v>12646.96</v>
      </c>
      <c r="D74" s="333" t="s">
        <v>818</v>
      </c>
      <c r="E74" s="333"/>
      <c r="F74" s="333" t="s">
        <v>818</v>
      </c>
      <c r="G74" s="334"/>
      <c r="H74" s="334" t="s">
        <v>818</v>
      </c>
      <c r="I74" s="334"/>
      <c r="J74" s="334" t="s">
        <v>818</v>
      </c>
      <c r="K74" s="334"/>
      <c r="L74" s="334" t="s">
        <v>818</v>
      </c>
      <c r="M74" s="458"/>
      <c r="N74" s="733"/>
      <c r="O74" s="636"/>
    </row>
    <row r="75" spans="1:15" ht="51.75" customHeight="1">
      <c r="A75" s="737" t="s">
        <v>817</v>
      </c>
      <c r="B75" s="739" t="s">
        <v>362</v>
      </c>
      <c r="C75" s="342">
        <v>4780</v>
      </c>
      <c r="D75" s="333" t="s">
        <v>818</v>
      </c>
      <c r="E75" s="333"/>
      <c r="F75" s="333" t="s">
        <v>818</v>
      </c>
      <c r="G75" s="334"/>
      <c r="H75" s="334" t="s">
        <v>818</v>
      </c>
      <c r="I75" s="334"/>
      <c r="J75" s="334" t="s">
        <v>818</v>
      </c>
      <c r="K75" s="334"/>
      <c r="L75" s="334" t="s">
        <v>818</v>
      </c>
      <c r="M75" s="458"/>
      <c r="N75" s="733"/>
      <c r="O75" s="636"/>
    </row>
    <row r="76" spans="1:15" ht="48" customHeight="1">
      <c r="A76" s="737" t="s">
        <v>748</v>
      </c>
      <c r="B76" s="739" t="s">
        <v>747</v>
      </c>
      <c r="C76" s="342">
        <v>1760</v>
      </c>
      <c r="D76" s="328"/>
      <c r="E76" s="328"/>
      <c r="F76" s="328"/>
      <c r="G76" s="329"/>
      <c r="H76" s="329"/>
      <c r="I76" s="329"/>
      <c r="J76" s="335"/>
      <c r="K76" s="335"/>
      <c r="L76" s="335"/>
      <c r="M76" s="459"/>
      <c r="N76" s="733"/>
      <c r="O76" s="636"/>
    </row>
    <row r="77" spans="1:15" ht="59.25" customHeight="1">
      <c r="A77" s="737" t="s">
        <v>817</v>
      </c>
      <c r="B77" s="739" t="s">
        <v>363</v>
      </c>
      <c r="C77" s="342">
        <v>11921.4</v>
      </c>
      <c r="D77" s="333" t="s">
        <v>818</v>
      </c>
      <c r="E77" s="333"/>
      <c r="F77" s="333"/>
      <c r="G77" s="328"/>
      <c r="H77" s="328" t="s">
        <v>818</v>
      </c>
      <c r="I77" s="328"/>
      <c r="J77" s="328"/>
      <c r="K77" s="329"/>
      <c r="L77" s="329"/>
      <c r="M77" s="456"/>
      <c r="N77" s="733"/>
      <c r="O77" s="636"/>
    </row>
    <row r="78" spans="1:15" ht="85.5" customHeight="1">
      <c r="A78" s="737" t="s">
        <v>817</v>
      </c>
      <c r="B78" s="739" t="s">
        <v>900</v>
      </c>
      <c r="C78" s="342">
        <v>3050</v>
      </c>
      <c r="D78" s="333" t="s">
        <v>818</v>
      </c>
      <c r="E78" s="333"/>
      <c r="F78" s="333" t="s">
        <v>818</v>
      </c>
      <c r="G78" s="334"/>
      <c r="H78" s="334" t="s">
        <v>818</v>
      </c>
      <c r="I78" s="334"/>
      <c r="J78" s="334" t="s">
        <v>818</v>
      </c>
      <c r="K78" s="334"/>
      <c r="L78" s="334" t="s">
        <v>818</v>
      </c>
      <c r="M78" s="458"/>
      <c r="N78" s="733"/>
      <c r="O78" s="636"/>
    </row>
    <row r="79" spans="1:15" ht="55.5" customHeight="1">
      <c r="A79" s="737" t="s">
        <v>817</v>
      </c>
      <c r="B79" s="739" t="s">
        <v>897</v>
      </c>
      <c r="C79" s="342">
        <v>1200</v>
      </c>
      <c r="D79" s="333" t="s">
        <v>818</v>
      </c>
      <c r="E79" s="333"/>
      <c r="F79" s="333"/>
      <c r="G79" s="328"/>
      <c r="H79" s="328" t="s">
        <v>818</v>
      </c>
      <c r="I79" s="328"/>
      <c r="J79" s="328"/>
      <c r="K79" s="329"/>
      <c r="L79" s="329" t="s">
        <v>818</v>
      </c>
      <c r="M79" s="456"/>
      <c r="N79" s="733"/>
      <c r="O79" s="636"/>
    </row>
    <row r="80" spans="1:15" ht="58.5" customHeight="1">
      <c r="A80" s="737" t="s">
        <v>817</v>
      </c>
      <c r="B80" s="739" t="s">
        <v>513</v>
      </c>
      <c r="C80" s="342">
        <v>200000</v>
      </c>
      <c r="D80" s="333" t="s">
        <v>818</v>
      </c>
      <c r="E80" s="333"/>
      <c r="F80" s="333"/>
      <c r="G80" s="328"/>
      <c r="H80" s="328"/>
      <c r="I80" s="328"/>
      <c r="J80" s="328"/>
      <c r="K80" s="329"/>
      <c r="L80" s="329"/>
      <c r="M80" s="456"/>
      <c r="N80" s="733"/>
      <c r="O80" s="636"/>
    </row>
    <row r="81" spans="1:15" s="89" customFormat="1" ht="93.75" customHeight="1">
      <c r="A81" s="737" t="s">
        <v>820</v>
      </c>
      <c r="B81" s="739" t="s">
        <v>351</v>
      </c>
      <c r="C81" s="342">
        <v>66241</v>
      </c>
      <c r="D81" s="354"/>
      <c r="E81" s="354"/>
      <c r="F81" s="355"/>
      <c r="G81" s="355"/>
      <c r="H81" s="356"/>
      <c r="I81" s="356"/>
      <c r="J81" s="356"/>
      <c r="K81" s="356"/>
      <c r="L81" s="356"/>
      <c r="M81" s="468"/>
      <c r="N81" s="731"/>
      <c r="O81" s="732"/>
    </row>
    <row r="82" spans="1:15" s="89" customFormat="1" ht="70.5" customHeight="1">
      <c r="A82" s="737" t="s">
        <v>823</v>
      </c>
      <c r="B82" s="739" t="s">
        <v>416</v>
      </c>
      <c r="C82" s="342">
        <v>13350</v>
      </c>
      <c r="D82" s="334"/>
      <c r="E82" s="334"/>
      <c r="F82" s="345"/>
      <c r="G82" s="344"/>
      <c r="H82" s="344"/>
      <c r="I82" s="344"/>
      <c r="J82" s="344"/>
      <c r="K82" s="344"/>
      <c r="L82" s="344"/>
      <c r="M82" s="465"/>
      <c r="N82" s="731"/>
      <c r="O82" s="732"/>
    </row>
    <row r="83" spans="1:15" ht="40.5" customHeight="1">
      <c r="A83" s="737" t="s">
        <v>823</v>
      </c>
      <c r="B83" s="739" t="s">
        <v>352</v>
      </c>
      <c r="C83" s="342">
        <v>19050</v>
      </c>
      <c r="D83" s="350"/>
      <c r="E83" s="333"/>
      <c r="F83" s="333"/>
      <c r="G83" s="345"/>
      <c r="H83" s="345"/>
      <c r="I83" s="345"/>
      <c r="J83" s="345"/>
      <c r="K83" s="345"/>
      <c r="L83" s="345"/>
      <c r="M83" s="466"/>
      <c r="N83" s="733"/>
      <c r="O83" s="636"/>
    </row>
    <row r="84" spans="1:15" ht="57" customHeight="1">
      <c r="A84" s="737" t="s">
        <v>823</v>
      </c>
      <c r="B84" s="739" t="s">
        <v>353</v>
      </c>
      <c r="C84" s="342">
        <v>38761</v>
      </c>
      <c r="D84" s="350"/>
      <c r="E84" s="333"/>
      <c r="F84" s="333"/>
      <c r="G84" s="345"/>
      <c r="H84" s="345"/>
      <c r="I84" s="345"/>
      <c r="J84" s="345"/>
      <c r="K84" s="345"/>
      <c r="L84" s="345"/>
      <c r="M84" s="466"/>
      <c r="N84" s="733"/>
      <c r="O84" s="636"/>
    </row>
    <row r="85" spans="1:15" ht="66.75" customHeight="1">
      <c r="A85" s="737" t="s">
        <v>823</v>
      </c>
      <c r="B85" s="739" t="s">
        <v>364</v>
      </c>
      <c r="C85" s="342">
        <v>3514</v>
      </c>
      <c r="D85" s="357"/>
      <c r="E85" s="357"/>
      <c r="F85" s="357"/>
      <c r="G85" s="357"/>
      <c r="H85" s="358"/>
      <c r="I85" s="358"/>
      <c r="J85" s="358"/>
      <c r="K85" s="359"/>
      <c r="L85" s="359"/>
      <c r="M85" s="469"/>
      <c r="N85" s="733"/>
      <c r="O85" s="636"/>
    </row>
    <row r="86" spans="1:15" ht="45" customHeight="1">
      <c r="A86" s="737" t="s">
        <v>417</v>
      </c>
      <c r="B86" s="739" t="s">
        <v>824</v>
      </c>
      <c r="C86" s="342">
        <v>19050.07</v>
      </c>
      <c r="D86" s="360"/>
      <c r="E86" s="361"/>
      <c r="F86" s="361"/>
      <c r="G86" s="361"/>
      <c r="H86" s="361"/>
      <c r="I86" s="361"/>
      <c r="J86" s="361"/>
      <c r="K86" s="361"/>
      <c r="L86" s="361"/>
      <c r="M86" s="470"/>
      <c r="N86" s="733"/>
      <c r="O86" s="636"/>
    </row>
    <row r="87" spans="1:15" ht="59.25" customHeight="1">
      <c r="A87" s="737" t="s">
        <v>417</v>
      </c>
      <c r="B87" s="739" t="s">
        <v>354</v>
      </c>
      <c r="C87" s="342">
        <v>32693.8</v>
      </c>
      <c r="D87" s="360"/>
      <c r="E87" s="360"/>
      <c r="F87" s="361"/>
      <c r="G87" s="361"/>
      <c r="H87" s="361"/>
      <c r="I87" s="361"/>
      <c r="J87" s="361"/>
      <c r="K87" s="361"/>
      <c r="L87" s="361"/>
      <c r="M87" s="470"/>
      <c r="N87" s="733"/>
      <c r="O87" s="636"/>
    </row>
    <row r="88" spans="1:15" ht="27.75" customHeight="1" thickBot="1">
      <c r="A88" s="362"/>
      <c r="B88" s="146" t="s">
        <v>448</v>
      </c>
      <c r="C88" s="363">
        <f>SUM(C25:C87)</f>
        <v>40736015.01</v>
      </c>
      <c r="D88" s="364"/>
      <c r="E88" s="364"/>
      <c r="F88" s="364"/>
      <c r="G88" s="364"/>
      <c r="H88" s="364"/>
      <c r="I88" s="364"/>
      <c r="J88" s="364"/>
      <c r="K88" s="364"/>
      <c r="L88" s="364"/>
      <c r="M88" s="741"/>
      <c r="N88" s="742"/>
      <c r="O88" s="740"/>
    </row>
    <row r="89" spans="1:15" s="110" customFormat="1" ht="18.75" customHeight="1">
      <c r="A89" s="1163" t="s">
        <v>673</v>
      </c>
      <c r="B89" s="148" t="s">
        <v>952</v>
      </c>
      <c r="C89" s="1165" t="s">
        <v>180</v>
      </c>
      <c r="D89" s="1068">
        <v>2011</v>
      </c>
      <c r="E89" s="1068"/>
      <c r="F89" s="1068">
        <v>2012</v>
      </c>
      <c r="G89" s="1068"/>
      <c r="H89" s="1068">
        <v>2013</v>
      </c>
      <c r="I89" s="1068"/>
      <c r="J89" s="1068">
        <v>2014</v>
      </c>
      <c r="K89" s="1068"/>
      <c r="L89" s="1068">
        <v>2015</v>
      </c>
      <c r="M89" s="1070"/>
      <c r="N89" s="1140" t="s">
        <v>515</v>
      </c>
      <c r="O89" s="1141"/>
    </row>
    <row r="90" spans="1:15" s="110" customFormat="1" ht="28.5" customHeight="1" thickBot="1">
      <c r="A90" s="1164"/>
      <c r="B90" s="149" t="s">
        <v>179</v>
      </c>
      <c r="C90" s="1166"/>
      <c r="D90" s="149" t="s">
        <v>182</v>
      </c>
      <c r="E90" s="149" t="s">
        <v>181</v>
      </c>
      <c r="F90" s="149" t="s">
        <v>182</v>
      </c>
      <c r="G90" s="149" t="s">
        <v>181</v>
      </c>
      <c r="H90" s="149" t="s">
        <v>182</v>
      </c>
      <c r="I90" s="149" t="s">
        <v>181</v>
      </c>
      <c r="J90" s="149" t="s">
        <v>182</v>
      </c>
      <c r="K90" s="149" t="s">
        <v>181</v>
      </c>
      <c r="L90" s="149" t="s">
        <v>182</v>
      </c>
      <c r="M90" s="150" t="s">
        <v>181</v>
      </c>
      <c r="N90" s="1142"/>
      <c r="O90" s="1143"/>
    </row>
    <row r="91" spans="1:15" s="110" customFormat="1" ht="145.5" customHeight="1">
      <c r="A91" s="749" t="s">
        <v>825</v>
      </c>
      <c r="B91" s="746" t="s">
        <v>301</v>
      </c>
      <c r="C91" s="471" t="s">
        <v>302</v>
      </c>
      <c r="D91" s="365"/>
      <c r="E91" s="365"/>
      <c r="F91" s="366"/>
      <c r="G91" s="366"/>
      <c r="H91" s="366"/>
      <c r="I91" s="366"/>
      <c r="J91" s="365"/>
      <c r="K91" s="365"/>
      <c r="L91" s="365"/>
      <c r="M91" s="472"/>
      <c r="N91" s="743" t="s">
        <v>303</v>
      </c>
      <c r="O91" s="744" t="s">
        <v>304</v>
      </c>
    </row>
    <row r="92" spans="1:15" s="110" customFormat="1" ht="40.5" customHeight="1">
      <c r="A92" s="750" t="s">
        <v>825</v>
      </c>
      <c r="B92" s="747" t="s">
        <v>542</v>
      </c>
      <c r="C92" s="367">
        <v>283393.17</v>
      </c>
      <c r="D92" s="320"/>
      <c r="E92" s="320"/>
      <c r="F92" s="320"/>
      <c r="G92" s="320"/>
      <c r="H92" s="320"/>
      <c r="I92" s="320"/>
      <c r="J92" s="318"/>
      <c r="K92" s="318"/>
      <c r="L92" s="318"/>
      <c r="M92" s="383"/>
      <c r="N92" s="727" t="s">
        <v>306</v>
      </c>
      <c r="O92" s="734"/>
    </row>
    <row r="93" spans="1:15" s="110" customFormat="1" ht="29.25" customHeight="1">
      <c r="A93" s="750" t="s">
        <v>825</v>
      </c>
      <c r="B93" s="747" t="s">
        <v>830</v>
      </c>
      <c r="C93" s="367">
        <v>236160.96</v>
      </c>
      <c r="D93" s="320"/>
      <c r="E93" s="320"/>
      <c r="F93" s="319"/>
      <c r="G93" s="319"/>
      <c r="H93" s="319"/>
      <c r="I93" s="319"/>
      <c r="J93" s="318"/>
      <c r="K93" s="318"/>
      <c r="L93" s="318"/>
      <c r="M93" s="383"/>
      <c r="N93" s="735"/>
      <c r="O93" s="734"/>
    </row>
    <row r="94" spans="1:15" s="110" customFormat="1" ht="54" customHeight="1">
      <c r="A94" s="750" t="s">
        <v>825</v>
      </c>
      <c r="B94" s="747" t="s">
        <v>543</v>
      </c>
      <c r="C94" s="367">
        <v>102500</v>
      </c>
      <c r="D94" s="320"/>
      <c r="E94" s="319"/>
      <c r="F94" s="319"/>
      <c r="G94" s="319"/>
      <c r="H94" s="319"/>
      <c r="I94" s="319"/>
      <c r="J94" s="318"/>
      <c r="K94" s="318"/>
      <c r="L94" s="318"/>
      <c r="M94" s="383"/>
      <c r="N94" s="727" t="s">
        <v>311</v>
      </c>
      <c r="O94" s="734"/>
    </row>
    <row r="95" spans="1:15" s="110" customFormat="1" ht="54" customHeight="1">
      <c r="A95" s="750" t="s">
        <v>834</v>
      </c>
      <c r="B95" s="747" t="s">
        <v>833</v>
      </c>
      <c r="C95" s="367">
        <v>13500</v>
      </c>
      <c r="D95" s="319"/>
      <c r="E95" s="320"/>
      <c r="F95" s="318"/>
      <c r="G95" s="318"/>
      <c r="H95" s="318"/>
      <c r="I95" s="318"/>
      <c r="J95" s="318"/>
      <c r="K95" s="318"/>
      <c r="L95" s="318"/>
      <c r="M95" s="383"/>
      <c r="N95" s="727" t="s">
        <v>311</v>
      </c>
      <c r="O95" s="734"/>
    </row>
    <row r="96" spans="1:15" s="110" customFormat="1" ht="42.75" customHeight="1">
      <c r="A96" s="750" t="s">
        <v>834</v>
      </c>
      <c r="B96" s="747" t="s">
        <v>832</v>
      </c>
      <c r="C96" s="367">
        <v>14900</v>
      </c>
      <c r="D96" s="319"/>
      <c r="E96" s="320"/>
      <c r="F96" s="318"/>
      <c r="G96" s="318"/>
      <c r="H96" s="318"/>
      <c r="I96" s="318"/>
      <c r="J96" s="318"/>
      <c r="K96" s="318"/>
      <c r="L96" s="318"/>
      <c r="M96" s="383"/>
      <c r="N96" s="715" t="s">
        <v>500</v>
      </c>
      <c r="O96" s="734"/>
    </row>
    <row r="97" spans="1:15" s="110" customFormat="1" ht="63.75" customHeight="1">
      <c r="A97" s="750" t="s">
        <v>834</v>
      </c>
      <c r="B97" s="748" t="s">
        <v>836</v>
      </c>
      <c r="C97" s="367">
        <v>118080</v>
      </c>
      <c r="D97" s="357"/>
      <c r="E97" s="357"/>
      <c r="F97" s="357"/>
      <c r="G97" s="357"/>
      <c r="H97" s="357"/>
      <c r="I97" s="357"/>
      <c r="J97" s="357"/>
      <c r="K97" s="357"/>
      <c r="L97" s="357"/>
      <c r="M97" s="473"/>
      <c r="N97" s="717" t="s">
        <v>307</v>
      </c>
      <c r="O97" s="730" t="s">
        <v>492</v>
      </c>
    </row>
    <row r="98" spans="1:15" s="110" customFormat="1" ht="53.25" customHeight="1">
      <c r="A98" s="750" t="s">
        <v>834</v>
      </c>
      <c r="B98" s="748" t="s">
        <v>873</v>
      </c>
      <c r="C98" s="367">
        <v>472322</v>
      </c>
      <c r="D98" s="357"/>
      <c r="E98" s="357"/>
      <c r="F98" s="357"/>
      <c r="G98" s="357"/>
      <c r="H98" s="357"/>
      <c r="I98" s="357"/>
      <c r="J98" s="357"/>
      <c r="K98" s="357"/>
      <c r="L98" s="357"/>
      <c r="M98" s="473"/>
      <c r="N98" s="717" t="s">
        <v>308</v>
      </c>
      <c r="O98" s="730" t="s">
        <v>499</v>
      </c>
    </row>
    <row r="99" spans="1:15" s="110" customFormat="1" ht="42" customHeight="1">
      <c r="A99" s="751" t="s">
        <v>834</v>
      </c>
      <c r="B99" s="748" t="s">
        <v>497</v>
      </c>
      <c r="C99" s="367"/>
      <c r="D99" s="357"/>
      <c r="E99" s="357"/>
      <c r="F99" s="357"/>
      <c r="G99" s="357"/>
      <c r="H99" s="357"/>
      <c r="I99" s="357"/>
      <c r="J99" s="357"/>
      <c r="K99" s="357"/>
      <c r="L99" s="357"/>
      <c r="M99" s="473"/>
      <c r="N99" s="745" t="s">
        <v>306</v>
      </c>
      <c r="O99" s="730" t="s">
        <v>498</v>
      </c>
    </row>
    <row r="100" spans="1:15" ht="54" customHeight="1">
      <c r="A100" s="750" t="s">
        <v>819</v>
      </c>
      <c r="B100" s="748" t="s">
        <v>885</v>
      </c>
      <c r="C100" s="367">
        <v>820293.49</v>
      </c>
      <c r="D100" s="357"/>
      <c r="E100" s="357"/>
      <c r="F100" s="357"/>
      <c r="G100" s="358"/>
      <c r="H100" s="358"/>
      <c r="I100" s="358"/>
      <c r="J100" s="358"/>
      <c r="K100" s="358"/>
      <c r="L100" s="358"/>
      <c r="M100" s="474"/>
      <c r="N100" s="745" t="s">
        <v>308</v>
      </c>
      <c r="O100" s="636"/>
    </row>
    <row r="101" spans="1:15" ht="50.25" customHeight="1">
      <c r="A101" s="750" t="s">
        <v>533</v>
      </c>
      <c r="B101" s="748" t="s">
        <v>822</v>
      </c>
      <c r="C101" s="367">
        <v>700000</v>
      </c>
      <c r="D101" s="368"/>
      <c r="E101" s="368"/>
      <c r="F101" s="368"/>
      <c r="G101" s="368"/>
      <c r="H101" s="368"/>
      <c r="I101" s="368"/>
      <c r="J101" s="358"/>
      <c r="K101" s="358"/>
      <c r="L101" s="358"/>
      <c r="M101" s="474"/>
      <c r="N101" s="745" t="s">
        <v>308</v>
      </c>
      <c r="O101" s="636"/>
    </row>
    <row r="102" spans="1:15" ht="42.75" customHeight="1">
      <c r="A102" s="750" t="s">
        <v>736</v>
      </c>
      <c r="B102" s="747" t="s">
        <v>544</v>
      </c>
      <c r="C102" s="367">
        <v>150000</v>
      </c>
      <c r="D102" s="328"/>
      <c r="E102" s="328"/>
      <c r="F102" s="328"/>
      <c r="G102" s="329"/>
      <c r="H102" s="329"/>
      <c r="I102" s="329"/>
      <c r="J102" s="335"/>
      <c r="K102" s="335"/>
      <c r="L102" s="335"/>
      <c r="M102" s="459"/>
      <c r="N102" s="745"/>
      <c r="O102" s="636"/>
    </row>
    <row r="103" spans="1:15" ht="49.5" customHeight="1">
      <c r="A103" s="750" t="s">
        <v>736</v>
      </c>
      <c r="B103" s="747" t="s">
        <v>545</v>
      </c>
      <c r="C103" s="367">
        <v>150000</v>
      </c>
      <c r="D103" s="328"/>
      <c r="E103" s="328"/>
      <c r="F103" s="328"/>
      <c r="G103" s="329"/>
      <c r="H103" s="329"/>
      <c r="I103" s="329"/>
      <c r="J103" s="335"/>
      <c r="K103" s="335"/>
      <c r="L103" s="335"/>
      <c r="M103" s="459"/>
      <c r="N103" s="745" t="s">
        <v>308</v>
      </c>
      <c r="O103" s="636"/>
    </row>
    <row r="104" spans="1:15" ht="53.25" customHeight="1">
      <c r="A104" s="750" t="s">
        <v>736</v>
      </c>
      <c r="B104" s="747" t="s">
        <v>546</v>
      </c>
      <c r="C104" s="367">
        <v>150000</v>
      </c>
      <c r="D104" s="328"/>
      <c r="E104" s="328"/>
      <c r="F104" s="328"/>
      <c r="G104" s="329"/>
      <c r="H104" s="329"/>
      <c r="I104" s="329"/>
      <c r="J104" s="335"/>
      <c r="K104" s="335"/>
      <c r="L104" s="335"/>
      <c r="M104" s="459"/>
      <c r="N104" s="745" t="s">
        <v>308</v>
      </c>
      <c r="O104" s="636"/>
    </row>
    <row r="105" spans="1:15" ht="41.25" customHeight="1">
      <c r="A105" s="750" t="s">
        <v>738</v>
      </c>
      <c r="B105" s="747" t="s">
        <v>544</v>
      </c>
      <c r="C105" s="367">
        <v>136306.15</v>
      </c>
      <c r="D105" s="328"/>
      <c r="E105" s="328"/>
      <c r="F105" s="328"/>
      <c r="G105" s="329"/>
      <c r="H105" s="329"/>
      <c r="I105" s="329"/>
      <c r="J105" s="335"/>
      <c r="K105" s="335"/>
      <c r="L105" s="335"/>
      <c r="M105" s="459"/>
      <c r="N105" s="733"/>
      <c r="O105" s="636"/>
    </row>
    <row r="106" spans="1:15" ht="41.25" customHeight="1">
      <c r="A106" s="750" t="s">
        <v>749</v>
      </c>
      <c r="B106" s="747" t="s">
        <v>728</v>
      </c>
      <c r="C106" s="367">
        <v>21780.88</v>
      </c>
      <c r="D106" s="328"/>
      <c r="E106" s="328"/>
      <c r="F106" s="328"/>
      <c r="G106" s="329"/>
      <c r="H106" s="329"/>
      <c r="I106" s="329"/>
      <c r="J106" s="335"/>
      <c r="K106" s="335"/>
      <c r="L106" s="335"/>
      <c r="M106" s="459"/>
      <c r="N106" s="733"/>
      <c r="O106" s="636"/>
    </row>
    <row r="107" spans="1:15" ht="42" customHeight="1">
      <c r="A107" s="750" t="s">
        <v>749</v>
      </c>
      <c r="B107" s="747" t="s">
        <v>729</v>
      </c>
      <c r="C107" s="367">
        <v>18267.83</v>
      </c>
      <c r="D107" s="328"/>
      <c r="E107" s="328"/>
      <c r="F107" s="328"/>
      <c r="G107" s="329"/>
      <c r="H107" s="329"/>
      <c r="I107" s="329"/>
      <c r="J107" s="335"/>
      <c r="K107" s="335"/>
      <c r="L107" s="335"/>
      <c r="M107" s="459"/>
      <c r="N107" s="733"/>
      <c r="O107" s="636"/>
    </row>
    <row r="108" spans="1:15" ht="67.5" customHeight="1">
      <c r="A108" s="750" t="s">
        <v>817</v>
      </c>
      <c r="B108" s="747" t="s">
        <v>540</v>
      </c>
      <c r="C108" s="367">
        <v>981</v>
      </c>
      <c r="D108" s="334" t="s">
        <v>172</v>
      </c>
      <c r="E108" s="334"/>
      <c r="F108" s="334" t="s">
        <v>172</v>
      </c>
      <c r="G108" s="344"/>
      <c r="H108" s="344" t="s">
        <v>172</v>
      </c>
      <c r="I108" s="344"/>
      <c r="J108" s="335" t="s">
        <v>172</v>
      </c>
      <c r="K108" s="335"/>
      <c r="L108" s="335" t="s">
        <v>172</v>
      </c>
      <c r="M108" s="459"/>
      <c r="N108" s="733"/>
      <c r="O108" s="636"/>
    </row>
    <row r="109" spans="1:15" ht="69.75" customHeight="1">
      <c r="A109" s="750" t="s">
        <v>817</v>
      </c>
      <c r="B109" s="747" t="s">
        <v>541</v>
      </c>
      <c r="C109" s="367">
        <v>86235.88</v>
      </c>
      <c r="D109" s="357" t="s">
        <v>172</v>
      </c>
      <c r="E109" s="357"/>
      <c r="F109" s="357" t="s">
        <v>172</v>
      </c>
      <c r="G109" s="357"/>
      <c r="H109" s="357" t="s">
        <v>172</v>
      </c>
      <c r="I109" s="357"/>
      <c r="J109" s="357" t="s">
        <v>172</v>
      </c>
      <c r="K109" s="359"/>
      <c r="L109" s="359" t="s">
        <v>172</v>
      </c>
      <c r="M109" s="469"/>
      <c r="N109" s="733"/>
      <c r="O109" s="636"/>
    </row>
    <row r="110" spans="1:15" ht="67.5" customHeight="1">
      <c r="A110" s="750" t="s">
        <v>820</v>
      </c>
      <c r="B110" s="747" t="s">
        <v>731</v>
      </c>
      <c r="C110" s="367">
        <v>108911.42</v>
      </c>
      <c r="D110" s="357"/>
      <c r="E110" s="357"/>
      <c r="F110" s="358"/>
      <c r="G110" s="358"/>
      <c r="H110" s="358"/>
      <c r="I110" s="358"/>
      <c r="J110" s="358"/>
      <c r="K110" s="358"/>
      <c r="L110" s="358"/>
      <c r="M110" s="474"/>
      <c r="N110" s="733"/>
      <c r="O110" s="636"/>
    </row>
    <row r="111" spans="1:15" ht="50.25" customHeight="1">
      <c r="A111" s="750" t="s">
        <v>823</v>
      </c>
      <c r="B111" s="747" t="s">
        <v>732</v>
      </c>
      <c r="C111" s="367">
        <v>60237</v>
      </c>
      <c r="D111" s="369"/>
      <c r="E111" s="369"/>
      <c r="F111" s="370"/>
      <c r="G111" s="370"/>
      <c r="H111" s="370"/>
      <c r="I111" s="370"/>
      <c r="J111" s="370"/>
      <c r="K111" s="370"/>
      <c r="L111" s="370"/>
      <c r="M111" s="475"/>
      <c r="N111" s="733"/>
      <c r="O111" s="636"/>
    </row>
    <row r="112" spans="1:15" ht="23.25" customHeight="1" thickBot="1">
      <c r="A112" s="371"/>
      <c r="B112" s="372" t="s">
        <v>954</v>
      </c>
      <c r="C112" s="373">
        <f>SUM(C92:C111)</f>
        <v>3643869.78</v>
      </c>
      <c r="D112" s="374"/>
      <c r="E112" s="374"/>
      <c r="F112" s="374"/>
      <c r="G112" s="374"/>
      <c r="H112" s="374"/>
      <c r="I112" s="374"/>
      <c r="J112" s="374"/>
      <c r="K112" s="374"/>
      <c r="L112" s="374"/>
      <c r="M112" s="476"/>
      <c r="N112" s="752"/>
      <c r="O112" s="753"/>
    </row>
    <row r="113" spans="1:15" ht="42.75" customHeight="1" thickBot="1">
      <c r="A113" s="1187" t="s">
        <v>442</v>
      </c>
      <c r="B113" s="1188"/>
      <c r="C113" s="375">
        <f>C112+C88+C22</f>
        <v>64387624.44</v>
      </c>
      <c r="D113" s="376"/>
      <c r="E113" s="376"/>
      <c r="F113" s="376"/>
      <c r="G113" s="376"/>
      <c r="H113" s="376"/>
      <c r="I113" s="376"/>
      <c r="J113" s="376"/>
      <c r="K113" s="376"/>
      <c r="L113" s="376"/>
      <c r="M113" s="477"/>
      <c r="N113" s="754"/>
      <c r="O113" s="755"/>
    </row>
    <row r="114" spans="1:13" ht="26.25" customHeight="1">
      <c r="A114" s="1186" t="s">
        <v>898</v>
      </c>
      <c r="B114" s="1186"/>
      <c r="C114" s="1186"/>
      <c r="D114" s="1186"/>
      <c r="E114" s="1186"/>
      <c r="F114" s="1186"/>
      <c r="G114" s="1186"/>
      <c r="H114" s="1186"/>
      <c r="I114" s="1186"/>
      <c r="J114" s="1186"/>
      <c r="K114" s="1186"/>
      <c r="L114" s="1186"/>
      <c r="M114" s="1186"/>
    </row>
    <row r="115" spans="1:13" ht="82.5" customHeight="1" thickBot="1">
      <c r="A115" s="181"/>
      <c r="B115" s="182"/>
      <c r="C115" s="183"/>
      <c r="D115" s="184"/>
      <c r="E115" s="184"/>
      <c r="F115" s="184"/>
      <c r="G115" s="184"/>
      <c r="H115" s="184"/>
      <c r="I115" s="184"/>
      <c r="J115" s="184"/>
      <c r="K115" s="184"/>
      <c r="L115" s="184"/>
      <c r="M115" s="184"/>
    </row>
    <row r="116" spans="1:13" ht="22.5" customHeight="1">
      <c r="A116" s="181"/>
      <c r="B116" s="478" t="s">
        <v>175</v>
      </c>
      <c r="C116" s="1006">
        <f>C22</f>
        <v>20007739.65</v>
      </c>
      <c r="D116" s="184"/>
      <c r="E116" s="184"/>
      <c r="F116" s="184"/>
      <c r="G116" s="184"/>
      <c r="H116" s="184"/>
      <c r="I116" s="184"/>
      <c r="J116" s="184"/>
      <c r="K116" s="184"/>
      <c r="L116" s="184"/>
      <c r="M116" s="184"/>
    </row>
    <row r="117" spans="1:13" ht="27" customHeight="1">
      <c r="A117" s="181"/>
      <c r="B117" s="479" t="s">
        <v>176</v>
      </c>
      <c r="C117" s="1007">
        <f>C88</f>
        <v>40736015.01</v>
      </c>
      <c r="D117" s="184"/>
      <c r="E117" s="184"/>
      <c r="F117" s="184"/>
      <c r="G117" s="184"/>
      <c r="H117" s="184"/>
      <c r="I117" s="184"/>
      <c r="J117" s="184"/>
      <c r="K117" s="184"/>
      <c r="L117" s="184"/>
      <c r="M117" s="184"/>
    </row>
    <row r="118" spans="1:13" ht="27" customHeight="1">
      <c r="A118" s="181"/>
      <c r="B118" s="480" t="s">
        <v>177</v>
      </c>
      <c r="C118" s="1008">
        <f>C112</f>
        <v>3643869.78</v>
      </c>
      <c r="D118" s="184"/>
      <c r="E118" s="184"/>
      <c r="F118" s="184"/>
      <c r="G118" s="184"/>
      <c r="H118" s="184"/>
      <c r="I118" s="184"/>
      <c r="J118" s="184"/>
      <c r="K118" s="184"/>
      <c r="L118" s="184"/>
      <c r="M118" s="184"/>
    </row>
    <row r="119" spans="1:13" ht="27" customHeight="1" thickBot="1">
      <c r="A119" s="185"/>
      <c r="B119" s="481" t="s">
        <v>178</v>
      </c>
      <c r="C119" s="482">
        <f>SUM(C116:C118)</f>
        <v>64387624.44</v>
      </c>
      <c r="D119" s="184"/>
      <c r="E119" s="184"/>
      <c r="F119" s="184"/>
      <c r="G119" s="184"/>
      <c r="H119" s="184"/>
      <c r="I119" s="184"/>
      <c r="J119" s="184"/>
      <c r="K119" s="184"/>
      <c r="L119" s="184"/>
      <c r="M119" s="184"/>
    </row>
    <row r="120" spans="3:4" ht="156" customHeight="1" thickBot="1">
      <c r="C120" s="186"/>
      <c r="D120" s="110"/>
    </row>
    <row r="121" spans="1:13" ht="31.5" customHeight="1">
      <c r="A121" s="1160" t="s">
        <v>673</v>
      </c>
      <c r="B121" s="377" t="s">
        <v>179</v>
      </c>
      <c r="C121" s="1156" t="s">
        <v>180</v>
      </c>
      <c r="D121" s="1158">
        <v>2011</v>
      </c>
      <c r="E121" s="1158"/>
      <c r="F121" s="1158">
        <v>2012</v>
      </c>
      <c r="G121" s="1158"/>
      <c r="H121" s="1158">
        <v>2013</v>
      </c>
      <c r="I121" s="1158"/>
      <c r="J121" s="1158">
        <v>2014</v>
      </c>
      <c r="K121" s="1158"/>
      <c r="L121" s="1158">
        <v>2015</v>
      </c>
      <c r="M121" s="1159"/>
    </row>
    <row r="122" spans="1:13" ht="28.5" customHeight="1">
      <c r="A122" s="1161"/>
      <c r="B122" s="378" t="s">
        <v>445</v>
      </c>
      <c r="C122" s="1157"/>
      <c r="D122" s="187" t="s">
        <v>182</v>
      </c>
      <c r="E122" s="187" t="s">
        <v>181</v>
      </c>
      <c r="F122" s="187" t="s">
        <v>182</v>
      </c>
      <c r="G122" s="187" t="s">
        <v>181</v>
      </c>
      <c r="H122" s="187" t="s">
        <v>182</v>
      </c>
      <c r="I122" s="187" t="s">
        <v>181</v>
      </c>
      <c r="J122" s="187" t="s">
        <v>182</v>
      </c>
      <c r="K122" s="187" t="s">
        <v>181</v>
      </c>
      <c r="L122" s="187" t="s">
        <v>182</v>
      </c>
      <c r="M122" s="188" t="s">
        <v>181</v>
      </c>
    </row>
    <row r="123" spans="1:13" s="110" customFormat="1" ht="36.75" customHeight="1">
      <c r="A123" s="379" t="s">
        <v>825</v>
      </c>
      <c r="B123" s="380" t="s">
        <v>881</v>
      </c>
      <c r="C123" s="381">
        <v>1203368.07</v>
      </c>
      <c r="D123" s="382"/>
      <c r="E123" s="382"/>
      <c r="F123" s="318"/>
      <c r="G123" s="318"/>
      <c r="H123" s="318"/>
      <c r="I123" s="318"/>
      <c r="J123" s="318"/>
      <c r="K123" s="318"/>
      <c r="L123" s="318"/>
      <c r="M123" s="383"/>
    </row>
    <row r="124" spans="1:13" s="110" customFormat="1" ht="38.25" customHeight="1">
      <c r="A124" s="379" t="s">
        <v>825</v>
      </c>
      <c r="B124" s="380" t="s">
        <v>826</v>
      </c>
      <c r="C124" s="381">
        <v>25857.65</v>
      </c>
      <c r="D124" s="189"/>
      <c r="E124" s="189"/>
      <c r="F124" s="189"/>
      <c r="G124" s="189"/>
      <c r="H124" s="189"/>
      <c r="I124" s="189"/>
      <c r="J124" s="189"/>
      <c r="K124" s="189"/>
      <c r="L124" s="189"/>
      <c r="M124" s="190"/>
    </row>
    <row r="125" spans="1:13" s="110" customFormat="1" ht="42" customHeight="1">
      <c r="A125" s="379" t="s">
        <v>825</v>
      </c>
      <c r="B125" s="380" t="s">
        <v>828</v>
      </c>
      <c r="C125" s="381">
        <v>10224.13</v>
      </c>
      <c r="D125" s="318"/>
      <c r="E125" s="318"/>
      <c r="F125" s="318"/>
      <c r="G125" s="318"/>
      <c r="H125" s="318"/>
      <c r="I125" s="318"/>
      <c r="J125" s="318"/>
      <c r="K125" s="318"/>
      <c r="L125" s="318"/>
      <c r="M125" s="383"/>
    </row>
    <row r="126" spans="1:13" s="110" customFormat="1" ht="21" customHeight="1" thickBot="1">
      <c r="A126" s="384"/>
      <c r="B126" s="385" t="s">
        <v>357</v>
      </c>
      <c r="C126" s="386">
        <f>SUM(C123:C125)</f>
        <v>1239449.8499999999</v>
      </c>
      <c r="D126" s="340"/>
      <c r="E126" s="340"/>
      <c r="F126" s="340"/>
      <c r="G126" s="340"/>
      <c r="H126" s="340"/>
      <c r="I126" s="340"/>
      <c r="J126" s="340"/>
      <c r="K126" s="340"/>
      <c r="L126" s="340"/>
      <c r="M126" s="387"/>
    </row>
    <row r="127" spans="1:3" s="110" customFormat="1" ht="12.75">
      <c r="A127" s="484"/>
      <c r="B127" s="186"/>
      <c r="C127" s="186"/>
    </row>
    <row r="129" spans="1:3" s="110" customFormat="1" ht="12.75">
      <c r="A129" s="484"/>
      <c r="B129" s="186"/>
      <c r="C129" s="186"/>
    </row>
    <row r="130" spans="1:3" s="110" customFormat="1" ht="12.75">
      <c r="A130" s="484"/>
      <c r="B130" s="388" t="s">
        <v>440</v>
      </c>
      <c r="C130" s="191">
        <f>C126+C119</f>
        <v>65627074.29</v>
      </c>
    </row>
    <row r="131" spans="1:3" s="110" customFormat="1" ht="39.75" customHeight="1">
      <c r="A131" s="484"/>
      <c r="B131" s="186"/>
      <c r="C131" s="186"/>
    </row>
    <row r="132" spans="1:3" s="110" customFormat="1" ht="12.75">
      <c r="A132" s="484"/>
      <c r="B132" s="186"/>
      <c r="C132" s="186"/>
    </row>
    <row r="133" spans="1:3" s="110" customFormat="1" ht="12.75">
      <c r="A133" s="484"/>
      <c r="B133" s="186"/>
      <c r="C133" s="186"/>
    </row>
    <row r="134" spans="2:4" s="110" customFormat="1" ht="23.25" customHeight="1">
      <c r="B134" s="756" t="s">
        <v>825</v>
      </c>
      <c r="C134" s="757">
        <f>C8+C9+C10+C13+C14+C25+C31+C32+C43+C44+C45+C46+C47+C48+C49+C50+C92+C93+C94+C95+C96+C97+C98+C123+C124+C125</f>
        <v>41147649.83</v>
      </c>
      <c r="D134" s="226"/>
    </row>
    <row r="135" spans="2:6" s="110" customFormat="1" ht="20.25" customHeight="1">
      <c r="B135" s="389" t="s">
        <v>533</v>
      </c>
      <c r="C135" s="757">
        <f>C33+C16+C101</f>
        <v>15107105</v>
      </c>
      <c r="D135" s="227"/>
      <c r="E135" s="227"/>
      <c r="F135" s="227"/>
    </row>
    <row r="136" spans="2:6" s="110" customFormat="1" ht="18.75" customHeight="1">
      <c r="B136" s="389" t="s">
        <v>536</v>
      </c>
      <c r="C136" s="757">
        <f>C19+C20+C34+C52+C53+C54+C55+C56+C105</f>
        <v>5246424.33</v>
      </c>
      <c r="D136" s="228"/>
      <c r="E136" s="228"/>
      <c r="F136" s="228"/>
    </row>
    <row r="137" spans="2:6" s="110" customFormat="1" ht="20.25" customHeight="1">
      <c r="B137" s="389" t="s">
        <v>414</v>
      </c>
      <c r="C137" s="757">
        <f>C109+C108+C80+C79+C78+C77+C75+C74+C73+C41+C37+C18</f>
        <v>984023.02</v>
      </c>
      <c r="D137" s="228"/>
      <c r="E137" s="228"/>
      <c r="F137" s="228"/>
    </row>
    <row r="138" spans="2:3" s="110" customFormat="1" ht="21.75" customHeight="1">
      <c r="B138" s="389" t="s">
        <v>415</v>
      </c>
      <c r="C138" s="757">
        <f>C100</f>
        <v>820293.49</v>
      </c>
    </row>
    <row r="139" spans="2:6" s="110" customFormat="1" ht="15.75" customHeight="1">
      <c r="B139" s="389" t="s">
        <v>736</v>
      </c>
      <c r="C139" s="757">
        <f>C17+C102+C103+C104</f>
        <v>650000</v>
      </c>
      <c r="D139" s="227"/>
      <c r="E139" s="227"/>
      <c r="F139" s="227"/>
    </row>
    <row r="140" spans="2:6" s="110" customFormat="1" ht="20.25" customHeight="1">
      <c r="B140" s="389" t="s">
        <v>538</v>
      </c>
      <c r="C140" s="757">
        <f>C38+C81+C110</f>
        <v>475152.42</v>
      </c>
      <c r="D140" s="228"/>
      <c r="E140" s="228"/>
      <c r="F140" s="228"/>
    </row>
    <row r="141" spans="2:6" s="110" customFormat="1" ht="21.75" customHeight="1">
      <c r="B141" s="389" t="s">
        <v>537</v>
      </c>
      <c r="C141" s="757">
        <f>C39+C40+C82+C83+C84+C85+C111</f>
        <v>436032</v>
      </c>
      <c r="D141" s="228"/>
      <c r="E141" s="228"/>
      <c r="F141" s="228"/>
    </row>
    <row r="142" spans="2:6" s="110" customFormat="1" ht="20.25" customHeight="1">
      <c r="B142" s="359" t="s">
        <v>532</v>
      </c>
      <c r="C142" s="757">
        <f>C36+C70+C71+C72</f>
        <v>318416</v>
      </c>
      <c r="D142" s="228"/>
      <c r="E142" s="228"/>
      <c r="F142" s="228"/>
    </row>
    <row r="143" spans="2:6" s="110" customFormat="1" ht="20.25" customHeight="1">
      <c r="B143" s="389" t="s">
        <v>535</v>
      </c>
      <c r="C143" s="757">
        <f>C35+C65+C66+C67+C68+C69+C106+C107+C64</f>
        <v>277120.57</v>
      </c>
      <c r="D143" s="228"/>
      <c r="E143" s="228"/>
      <c r="F143" s="228"/>
    </row>
    <row r="144" spans="2:3" s="110" customFormat="1" ht="24.75" customHeight="1">
      <c r="B144" s="389" t="s">
        <v>539</v>
      </c>
      <c r="C144" s="757">
        <f>C76+C63+C62+C61+C60+C59+C58+C57+C42</f>
        <v>113113.76000000001</v>
      </c>
    </row>
    <row r="145" spans="2:3" s="110" customFormat="1" ht="21.75" customHeight="1">
      <c r="B145" s="389" t="s">
        <v>534</v>
      </c>
      <c r="C145" s="757">
        <f>C86+C87</f>
        <v>51743.869999999995</v>
      </c>
    </row>
    <row r="146" spans="1:3" s="110" customFormat="1" ht="21.75" customHeight="1">
      <c r="A146" s="484"/>
      <c r="B146" s="758" t="s">
        <v>174</v>
      </c>
      <c r="C146" s="757">
        <f>SUM(C134:C145)</f>
        <v>65627074.29</v>
      </c>
    </row>
    <row r="147" spans="1:3" s="110" customFormat="1" ht="12.75">
      <c r="A147" s="484"/>
      <c r="B147" s="186"/>
      <c r="C147" s="225">
        <f>C130-C146</f>
        <v>0</v>
      </c>
    </row>
    <row r="148" spans="1:3" s="110" customFormat="1" ht="12.75">
      <c r="A148" s="484"/>
      <c r="B148" s="186"/>
      <c r="C148" s="186"/>
    </row>
    <row r="149" spans="1:3" s="110" customFormat="1" ht="12.75">
      <c r="A149" s="484"/>
      <c r="B149" s="186"/>
      <c r="C149" s="186"/>
    </row>
    <row r="150" spans="1:3" s="110" customFormat="1" ht="12.75">
      <c r="A150" s="484"/>
      <c r="B150" s="186"/>
      <c r="C150" s="186"/>
    </row>
    <row r="151" spans="1:3" s="110" customFormat="1" ht="12.75">
      <c r="A151" s="484"/>
      <c r="B151" s="186"/>
      <c r="C151" s="186"/>
    </row>
    <row r="152" spans="1:3" s="110" customFormat="1" ht="12.75">
      <c r="A152" s="484"/>
      <c r="B152" s="186"/>
      <c r="C152" s="186"/>
    </row>
    <row r="153" spans="1:3" s="110" customFormat="1" ht="12.75">
      <c r="A153" s="484"/>
      <c r="B153" s="186"/>
      <c r="C153" s="186"/>
    </row>
    <row r="154" spans="1:3" s="110" customFormat="1" ht="12.75">
      <c r="A154" s="484"/>
      <c r="B154" s="186"/>
      <c r="C154" s="186"/>
    </row>
    <row r="155" spans="1:3" s="110" customFormat="1" ht="12.75">
      <c r="A155" s="484"/>
      <c r="B155" s="186"/>
      <c r="C155" s="186"/>
    </row>
    <row r="156" spans="1:3" s="110" customFormat="1" ht="12.75">
      <c r="A156" s="484"/>
      <c r="B156" s="186"/>
      <c r="C156" s="186"/>
    </row>
    <row r="157" spans="1:3" s="110" customFormat="1" ht="12.75">
      <c r="A157" s="484"/>
      <c r="B157" s="186"/>
      <c r="C157" s="186"/>
    </row>
    <row r="158" spans="1:3" s="110" customFormat="1" ht="12.75">
      <c r="A158" s="484"/>
      <c r="B158" s="186"/>
      <c r="C158" s="186"/>
    </row>
    <row r="159" spans="1:3" s="110" customFormat="1" ht="12.75">
      <c r="A159" s="484"/>
      <c r="B159" s="186"/>
      <c r="C159" s="186"/>
    </row>
    <row r="160" spans="1:3" s="110" customFormat="1" ht="12.75">
      <c r="A160" s="484"/>
      <c r="B160" s="186"/>
      <c r="C160" s="186"/>
    </row>
    <row r="161" spans="1:3" s="110" customFormat="1" ht="12.75">
      <c r="A161" s="484"/>
      <c r="B161" s="186"/>
      <c r="C161" s="186"/>
    </row>
    <row r="162" spans="1:3" s="110" customFormat="1" ht="12.75">
      <c r="A162" s="484"/>
      <c r="B162" s="186"/>
      <c r="C162" s="186"/>
    </row>
    <row r="163" spans="1:3" s="110" customFormat="1" ht="12.75">
      <c r="A163" s="484"/>
      <c r="B163" s="186"/>
      <c r="C163" s="186"/>
    </row>
    <row r="164" spans="1:3" s="110" customFormat="1" ht="12.75">
      <c r="A164" s="484"/>
      <c r="B164" s="186"/>
      <c r="C164" s="186"/>
    </row>
    <row r="165" spans="1:3" s="110" customFormat="1" ht="12.75">
      <c r="A165" s="484"/>
      <c r="B165" s="186"/>
      <c r="C165" s="186"/>
    </row>
    <row r="166" spans="1:3" s="110" customFormat="1" ht="12.75">
      <c r="A166" s="484"/>
      <c r="B166" s="186"/>
      <c r="C166" s="186"/>
    </row>
    <row r="167" spans="1:3" s="110" customFormat="1" ht="12.75">
      <c r="A167" s="484"/>
      <c r="B167" s="186"/>
      <c r="C167" s="186"/>
    </row>
    <row r="168" spans="1:3" s="110" customFormat="1" ht="12.75">
      <c r="A168" s="484"/>
      <c r="B168" s="186"/>
      <c r="C168" s="186"/>
    </row>
    <row r="169" spans="1:3" s="110" customFormat="1" ht="12.75">
      <c r="A169" s="484"/>
      <c r="B169" s="186"/>
      <c r="C169" s="186"/>
    </row>
    <row r="170" spans="1:3" s="110" customFormat="1" ht="12.75">
      <c r="A170" s="484"/>
      <c r="B170" s="186"/>
      <c r="C170" s="186"/>
    </row>
    <row r="171" spans="1:3" s="110" customFormat="1" ht="12.75">
      <c r="A171" s="484"/>
      <c r="B171" s="186"/>
      <c r="C171" s="186"/>
    </row>
    <row r="172" spans="1:3" s="110" customFormat="1" ht="12.75">
      <c r="A172" s="484"/>
      <c r="B172" s="186"/>
      <c r="C172" s="186"/>
    </row>
    <row r="173" spans="1:3" s="110" customFormat="1" ht="12.75">
      <c r="A173" s="484"/>
      <c r="B173" s="186"/>
      <c r="C173" s="186"/>
    </row>
    <row r="174" spans="1:3" s="110" customFormat="1" ht="12.75">
      <c r="A174" s="484"/>
      <c r="B174" s="186"/>
      <c r="C174" s="186"/>
    </row>
    <row r="175" spans="1:3" s="110" customFormat="1" ht="12.75">
      <c r="A175" s="484"/>
      <c r="B175" s="186"/>
      <c r="C175" s="186"/>
    </row>
    <row r="176" spans="1:3" s="110" customFormat="1" ht="12.75">
      <c r="A176" s="484"/>
      <c r="B176" s="186"/>
      <c r="C176" s="186"/>
    </row>
    <row r="177" spans="1:3" s="110" customFormat="1" ht="12.75">
      <c r="A177" s="484"/>
      <c r="B177" s="186"/>
      <c r="C177" s="186"/>
    </row>
    <row r="178" spans="1:3" s="110" customFormat="1" ht="12.75">
      <c r="A178" s="484"/>
      <c r="B178" s="186"/>
      <c r="C178" s="186"/>
    </row>
    <row r="179" spans="1:3" s="110" customFormat="1" ht="12.75">
      <c r="A179" s="484"/>
      <c r="B179" s="186"/>
      <c r="C179" s="186"/>
    </row>
    <row r="180" spans="1:3" s="110" customFormat="1" ht="12.75">
      <c r="A180" s="484"/>
      <c r="B180" s="186"/>
      <c r="C180" s="186"/>
    </row>
    <row r="181" spans="1:3" s="110" customFormat="1" ht="12.75">
      <c r="A181" s="484"/>
      <c r="B181" s="186"/>
      <c r="C181" s="186"/>
    </row>
    <row r="182" spans="1:3" s="110" customFormat="1" ht="12.75">
      <c r="A182" s="484"/>
      <c r="B182" s="186"/>
      <c r="C182" s="186"/>
    </row>
    <row r="183" spans="1:3" s="110" customFormat="1" ht="12.75">
      <c r="A183" s="484"/>
      <c r="B183" s="186"/>
      <c r="C183" s="186"/>
    </row>
    <row r="184" spans="1:3" s="110" customFormat="1" ht="12.75">
      <c r="A184" s="484"/>
      <c r="B184" s="186"/>
      <c r="C184" s="186"/>
    </row>
    <row r="185" spans="1:3" s="110" customFormat="1" ht="12.75">
      <c r="A185" s="484"/>
      <c r="B185" s="186"/>
      <c r="C185" s="186"/>
    </row>
    <row r="186" spans="1:3" s="110" customFormat="1" ht="12.75">
      <c r="A186" s="484"/>
      <c r="B186" s="186"/>
      <c r="C186" s="186"/>
    </row>
    <row r="187" spans="1:3" s="110" customFormat="1" ht="12.75">
      <c r="A187" s="484"/>
      <c r="B187" s="186"/>
      <c r="C187" s="186"/>
    </row>
    <row r="188" spans="1:3" s="110" customFormat="1" ht="12.75">
      <c r="A188" s="484"/>
      <c r="B188" s="186"/>
      <c r="C188" s="186"/>
    </row>
    <row r="189" spans="1:3" s="110" customFormat="1" ht="12.75">
      <c r="A189" s="484"/>
      <c r="B189" s="186"/>
      <c r="C189" s="186"/>
    </row>
    <row r="190" spans="1:3" s="110" customFormat="1" ht="12.75">
      <c r="A190" s="484"/>
      <c r="B190" s="186"/>
      <c r="C190" s="186"/>
    </row>
    <row r="191" spans="1:3" s="110" customFormat="1" ht="12.75">
      <c r="A191" s="484"/>
      <c r="B191" s="186"/>
      <c r="C191" s="186"/>
    </row>
    <row r="192" spans="1:3" s="110" customFormat="1" ht="12.75">
      <c r="A192" s="484"/>
      <c r="B192" s="186"/>
      <c r="C192" s="186"/>
    </row>
    <row r="193" spans="1:3" s="110" customFormat="1" ht="12.75">
      <c r="A193" s="484"/>
      <c r="B193" s="186"/>
      <c r="C193" s="186"/>
    </row>
    <row r="194" spans="1:3" s="110" customFormat="1" ht="12.75">
      <c r="A194" s="484"/>
      <c r="B194" s="186"/>
      <c r="C194" s="186"/>
    </row>
    <row r="195" spans="1:3" s="110" customFormat="1" ht="12.75">
      <c r="A195" s="484"/>
      <c r="B195" s="186"/>
      <c r="C195" s="186"/>
    </row>
    <row r="196" spans="1:3" s="110" customFormat="1" ht="12.75">
      <c r="A196" s="484"/>
      <c r="B196" s="186"/>
      <c r="C196" s="186"/>
    </row>
    <row r="197" spans="1:3" s="110" customFormat="1" ht="12.75">
      <c r="A197" s="484"/>
      <c r="B197" s="186"/>
      <c r="C197" s="186"/>
    </row>
    <row r="198" spans="1:3" s="110" customFormat="1" ht="12.75">
      <c r="A198" s="484"/>
      <c r="B198" s="186"/>
      <c r="C198" s="186"/>
    </row>
    <row r="199" spans="1:3" s="110" customFormat="1" ht="12.75">
      <c r="A199" s="484"/>
      <c r="B199" s="186"/>
      <c r="C199" s="186"/>
    </row>
    <row r="200" spans="1:3" s="110" customFormat="1" ht="12.75">
      <c r="A200" s="484"/>
      <c r="B200" s="186"/>
      <c r="C200" s="186"/>
    </row>
    <row r="201" spans="1:3" s="110" customFormat="1" ht="12.75">
      <c r="A201" s="484"/>
      <c r="B201" s="186"/>
      <c r="C201" s="186"/>
    </row>
    <row r="202" spans="1:3" s="110" customFormat="1" ht="12.75">
      <c r="A202" s="484"/>
      <c r="B202" s="186"/>
      <c r="C202" s="186"/>
    </row>
    <row r="203" spans="1:3" s="110" customFormat="1" ht="12.75">
      <c r="A203" s="484"/>
      <c r="B203" s="186"/>
      <c r="C203" s="186"/>
    </row>
    <row r="204" spans="1:3" s="110" customFormat="1" ht="12.75">
      <c r="A204" s="484"/>
      <c r="B204" s="186"/>
      <c r="C204" s="186"/>
    </row>
    <row r="205" spans="1:3" s="110" customFormat="1" ht="12.75">
      <c r="A205" s="484"/>
      <c r="B205" s="186"/>
      <c r="C205" s="186"/>
    </row>
    <row r="206" spans="1:3" s="110" customFormat="1" ht="12.75">
      <c r="A206" s="484"/>
      <c r="B206" s="186"/>
      <c r="C206" s="186"/>
    </row>
    <row r="207" spans="1:3" s="110" customFormat="1" ht="12.75">
      <c r="A207" s="484"/>
      <c r="B207" s="186"/>
      <c r="C207" s="186"/>
    </row>
    <row r="208" spans="1:3" s="110" customFormat="1" ht="12.75">
      <c r="A208" s="484"/>
      <c r="B208" s="186"/>
      <c r="C208" s="186"/>
    </row>
    <row r="209" spans="1:3" s="110" customFormat="1" ht="12.75">
      <c r="A209" s="484"/>
      <c r="B209" s="186"/>
      <c r="C209" s="186"/>
    </row>
    <row r="210" spans="1:3" s="110" customFormat="1" ht="12.75">
      <c r="A210" s="484"/>
      <c r="B210" s="186"/>
      <c r="C210" s="186"/>
    </row>
    <row r="211" spans="1:3" s="110" customFormat="1" ht="12.75">
      <c r="A211" s="484"/>
      <c r="B211" s="186"/>
      <c r="C211" s="186"/>
    </row>
    <row r="212" spans="1:3" s="110" customFormat="1" ht="12.75">
      <c r="A212" s="484"/>
      <c r="B212" s="186"/>
      <c r="C212" s="186"/>
    </row>
    <row r="213" spans="1:3" s="110" customFormat="1" ht="12.75">
      <c r="A213" s="484"/>
      <c r="B213" s="186"/>
      <c r="C213" s="186"/>
    </row>
    <row r="214" spans="1:3" s="110" customFormat="1" ht="12.75">
      <c r="A214" s="484"/>
      <c r="B214" s="186"/>
      <c r="C214" s="186"/>
    </row>
    <row r="215" spans="1:3" s="110" customFormat="1" ht="12.75">
      <c r="A215" s="484"/>
      <c r="B215" s="186"/>
      <c r="C215" s="186"/>
    </row>
    <row r="216" spans="1:3" s="110" customFormat="1" ht="12.75">
      <c r="A216" s="484"/>
      <c r="B216" s="186"/>
      <c r="C216" s="186"/>
    </row>
    <row r="217" spans="1:3" s="110" customFormat="1" ht="12.75">
      <c r="A217" s="484"/>
      <c r="B217" s="186"/>
      <c r="C217" s="186"/>
    </row>
    <row r="218" spans="1:3" s="110" customFormat="1" ht="12.75">
      <c r="A218" s="484"/>
      <c r="B218" s="186"/>
      <c r="C218" s="186"/>
    </row>
    <row r="219" spans="1:3" s="110" customFormat="1" ht="12.75">
      <c r="A219" s="484"/>
      <c r="B219" s="186"/>
      <c r="C219" s="186"/>
    </row>
    <row r="220" spans="1:3" s="110" customFormat="1" ht="12.75">
      <c r="A220" s="484"/>
      <c r="B220" s="186"/>
      <c r="C220" s="186"/>
    </row>
    <row r="221" spans="1:3" s="110" customFormat="1" ht="12.75">
      <c r="A221" s="484"/>
      <c r="B221" s="186"/>
      <c r="C221" s="186"/>
    </row>
    <row r="222" spans="1:3" s="110" customFormat="1" ht="12.75">
      <c r="A222" s="484"/>
      <c r="B222" s="186"/>
      <c r="C222" s="186"/>
    </row>
    <row r="223" spans="1:3" s="110" customFormat="1" ht="12.75">
      <c r="A223" s="484"/>
      <c r="B223" s="186"/>
      <c r="C223" s="186"/>
    </row>
    <row r="224" spans="1:3" s="110" customFormat="1" ht="12.75">
      <c r="A224" s="484"/>
      <c r="B224" s="186"/>
      <c r="C224" s="186"/>
    </row>
    <row r="225" spans="1:3" s="110" customFormat="1" ht="12.75">
      <c r="A225" s="484"/>
      <c r="B225" s="186"/>
      <c r="C225" s="186"/>
    </row>
    <row r="226" spans="1:3" s="110" customFormat="1" ht="12.75">
      <c r="A226" s="484"/>
      <c r="B226" s="186"/>
      <c r="C226" s="186"/>
    </row>
    <row r="227" spans="1:3" s="110" customFormat="1" ht="12.75">
      <c r="A227" s="484"/>
      <c r="B227" s="186"/>
      <c r="C227" s="186"/>
    </row>
    <row r="228" spans="1:3" s="110" customFormat="1" ht="12.75">
      <c r="A228" s="484"/>
      <c r="B228" s="186"/>
      <c r="C228" s="186"/>
    </row>
    <row r="229" spans="1:3" s="110" customFormat="1" ht="12.75">
      <c r="A229" s="484"/>
      <c r="B229" s="186"/>
      <c r="C229" s="186"/>
    </row>
    <row r="230" spans="1:3" s="110" customFormat="1" ht="12.75">
      <c r="A230" s="484"/>
      <c r="B230" s="186"/>
      <c r="C230" s="186"/>
    </row>
    <row r="231" spans="1:3" s="110" customFormat="1" ht="12.75">
      <c r="A231" s="484"/>
      <c r="B231" s="186"/>
      <c r="C231" s="186"/>
    </row>
    <row r="232" spans="1:3" s="110" customFormat="1" ht="12.75">
      <c r="A232" s="484"/>
      <c r="B232" s="186"/>
      <c r="C232" s="186"/>
    </row>
    <row r="233" spans="1:3" s="110" customFormat="1" ht="12.75">
      <c r="A233" s="484"/>
      <c r="B233" s="186"/>
      <c r="C233" s="186"/>
    </row>
    <row r="234" spans="1:3" s="110" customFormat="1" ht="12.75">
      <c r="A234" s="484"/>
      <c r="B234" s="186"/>
      <c r="C234" s="186"/>
    </row>
    <row r="235" spans="1:3" s="110" customFormat="1" ht="12.75">
      <c r="A235" s="484"/>
      <c r="B235" s="186"/>
      <c r="C235" s="186"/>
    </row>
    <row r="236" spans="1:3" s="110" customFormat="1" ht="12.75">
      <c r="A236" s="484"/>
      <c r="B236" s="186"/>
      <c r="C236" s="186"/>
    </row>
    <row r="237" spans="1:3" s="110" customFormat="1" ht="12.75">
      <c r="A237" s="484"/>
      <c r="B237" s="186"/>
      <c r="C237" s="186"/>
    </row>
    <row r="238" spans="1:3" s="110" customFormat="1" ht="12.75">
      <c r="A238" s="484"/>
      <c r="B238" s="186"/>
      <c r="C238" s="186"/>
    </row>
    <row r="239" spans="1:3" s="110" customFormat="1" ht="12.75">
      <c r="A239" s="484"/>
      <c r="B239" s="186"/>
      <c r="C239" s="186"/>
    </row>
    <row r="240" spans="1:3" s="110" customFormat="1" ht="12.75">
      <c r="A240" s="484"/>
      <c r="B240" s="186"/>
      <c r="C240" s="186"/>
    </row>
    <row r="241" spans="1:3" s="110" customFormat="1" ht="12.75">
      <c r="A241" s="484"/>
      <c r="B241" s="186"/>
      <c r="C241" s="186"/>
    </row>
    <row r="242" spans="1:3" s="110" customFormat="1" ht="12.75">
      <c r="A242" s="484"/>
      <c r="B242" s="186"/>
      <c r="C242" s="186"/>
    </row>
    <row r="243" spans="1:3" s="110" customFormat="1" ht="12.75">
      <c r="A243" s="484"/>
      <c r="B243" s="186"/>
      <c r="C243" s="186"/>
    </row>
    <row r="244" spans="1:3" s="110" customFormat="1" ht="12.75">
      <c r="A244" s="484"/>
      <c r="B244" s="186"/>
      <c r="C244" s="186"/>
    </row>
    <row r="245" spans="1:3" s="110" customFormat="1" ht="12.75">
      <c r="A245" s="484"/>
      <c r="B245" s="186"/>
      <c r="C245" s="186"/>
    </row>
    <row r="246" spans="1:3" s="110" customFormat="1" ht="12.75">
      <c r="A246" s="484"/>
      <c r="B246" s="186"/>
      <c r="C246" s="186"/>
    </row>
    <row r="247" spans="1:3" s="110" customFormat="1" ht="12.75">
      <c r="A247" s="484"/>
      <c r="B247" s="186"/>
      <c r="C247" s="186"/>
    </row>
    <row r="248" spans="1:3" s="110" customFormat="1" ht="12.75">
      <c r="A248" s="484"/>
      <c r="B248" s="186"/>
      <c r="C248" s="186"/>
    </row>
    <row r="249" spans="1:3" s="110" customFormat="1" ht="12.75">
      <c r="A249" s="484"/>
      <c r="B249" s="186"/>
      <c r="C249" s="186"/>
    </row>
    <row r="250" spans="1:3" s="110" customFormat="1" ht="12.75">
      <c r="A250" s="484"/>
      <c r="B250" s="186"/>
      <c r="C250" s="186"/>
    </row>
    <row r="251" spans="1:3" s="110" customFormat="1" ht="12.75">
      <c r="A251" s="484"/>
      <c r="B251" s="186"/>
      <c r="C251" s="186"/>
    </row>
    <row r="252" spans="1:3" s="110" customFormat="1" ht="12.75">
      <c r="A252" s="484"/>
      <c r="B252" s="186"/>
      <c r="C252" s="186"/>
    </row>
    <row r="253" spans="1:3" s="110" customFormat="1" ht="12.75">
      <c r="A253" s="484"/>
      <c r="B253" s="186"/>
      <c r="C253" s="186"/>
    </row>
    <row r="254" spans="1:3" s="110" customFormat="1" ht="12.75">
      <c r="A254" s="484"/>
      <c r="B254" s="186"/>
      <c r="C254" s="186"/>
    </row>
    <row r="255" spans="1:3" s="110" customFormat="1" ht="12.75">
      <c r="A255" s="484"/>
      <c r="B255" s="186"/>
      <c r="C255" s="186"/>
    </row>
    <row r="256" spans="1:3" s="110" customFormat="1" ht="12.75">
      <c r="A256" s="484"/>
      <c r="B256" s="186"/>
      <c r="C256" s="186"/>
    </row>
    <row r="257" spans="1:3" s="110" customFormat="1" ht="12.75">
      <c r="A257" s="484"/>
      <c r="B257" s="186"/>
      <c r="C257" s="186"/>
    </row>
    <row r="258" spans="1:3" s="110" customFormat="1" ht="12.75">
      <c r="A258" s="484"/>
      <c r="B258" s="186"/>
      <c r="C258" s="186"/>
    </row>
    <row r="259" spans="1:3" s="110" customFormat="1" ht="12.75">
      <c r="A259" s="484"/>
      <c r="B259" s="186"/>
      <c r="C259" s="186"/>
    </row>
    <row r="260" spans="1:3" s="110" customFormat="1" ht="12.75">
      <c r="A260" s="484"/>
      <c r="B260" s="186"/>
      <c r="C260" s="186"/>
    </row>
    <row r="261" spans="1:3" s="110" customFormat="1" ht="12.75">
      <c r="A261" s="484"/>
      <c r="B261" s="186"/>
      <c r="C261" s="186"/>
    </row>
    <row r="262" spans="1:3" s="110" customFormat="1" ht="12.75">
      <c r="A262" s="484"/>
      <c r="B262" s="186"/>
      <c r="C262" s="186"/>
    </row>
    <row r="263" spans="1:3" s="110" customFormat="1" ht="12.75">
      <c r="A263" s="484"/>
      <c r="B263" s="186"/>
      <c r="C263" s="186"/>
    </row>
    <row r="264" spans="1:3" s="110" customFormat="1" ht="12.75">
      <c r="A264" s="484"/>
      <c r="B264" s="186"/>
      <c r="C264" s="186"/>
    </row>
    <row r="265" spans="1:3" s="110" customFormat="1" ht="12.75">
      <c r="A265" s="484"/>
      <c r="B265" s="186"/>
      <c r="C265" s="186"/>
    </row>
    <row r="266" spans="1:3" s="110" customFormat="1" ht="12.75">
      <c r="A266" s="484"/>
      <c r="B266" s="186"/>
      <c r="C266" s="186"/>
    </row>
    <row r="267" spans="1:3" s="110" customFormat="1" ht="12.75">
      <c r="A267" s="484"/>
      <c r="B267" s="186"/>
      <c r="C267" s="186"/>
    </row>
    <row r="268" spans="1:3" s="110" customFormat="1" ht="12.75">
      <c r="A268" s="484"/>
      <c r="B268" s="186"/>
      <c r="C268" s="186"/>
    </row>
    <row r="269" spans="1:3" s="110" customFormat="1" ht="12.75">
      <c r="A269" s="484"/>
      <c r="B269" s="186"/>
      <c r="C269" s="186"/>
    </row>
    <row r="270" spans="1:3" s="110" customFormat="1" ht="12.75">
      <c r="A270" s="484"/>
      <c r="B270" s="186"/>
      <c r="C270" s="186"/>
    </row>
    <row r="271" spans="1:3" s="110" customFormat="1" ht="12.75">
      <c r="A271" s="484"/>
      <c r="B271" s="186"/>
      <c r="C271" s="186"/>
    </row>
    <row r="272" spans="1:3" s="110" customFormat="1" ht="12.75">
      <c r="A272" s="484"/>
      <c r="B272" s="186"/>
      <c r="C272" s="186"/>
    </row>
    <row r="273" spans="1:3" s="110" customFormat="1" ht="12.75">
      <c r="A273" s="484"/>
      <c r="B273" s="186"/>
      <c r="C273" s="186"/>
    </row>
    <row r="274" spans="1:3" s="110" customFormat="1" ht="12.75">
      <c r="A274" s="484"/>
      <c r="B274" s="186"/>
      <c r="C274" s="186"/>
    </row>
    <row r="275" spans="1:3" s="110" customFormat="1" ht="12.75">
      <c r="A275" s="484"/>
      <c r="B275" s="186"/>
      <c r="C275" s="186"/>
    </row>
    <row r="276" spans="1:3" s="110" customFormat="1" ht="12.75">
      <c r="A276" s="484"/>
      <c r="B276" s="186"/>
      <c r="C276" s="186"/>
    </row>
    <row r="277" spans="1:3" s="110" customFormat="1" ht="12.75">
      <c r="A277" s="484"/>
      <c r="B277" s="186"/>
      <c r="C277" s="186"/>
    </row>
    <row r="278" spans="1:3" s="110" customFormat="1" ht="12.75">
      <c r="A278" s="484"/>
      <c r="B278" s="186"/>
      <c r="C278" s="186"/>
    </row>
    <row r="279" spans="1:3" s="110" customFormat="1" ht="12.75">
      <c r="A279" s="484"/>
      <c r="B279" s="186"/>
      <c r="C279" s="186"/>
    </row>
    <row r="280" spans="1:3" s="110" customFormat="1" ht="12.75">
      <c r="A280" s="484"/>
      <c r="B280" s="186"/>
      <c r="C280" s="186"/>
    </row>
    <row r="281" spans="1:3" s="110" customFormat="1" ht="12.75">
      <c r="A281" s="484"/>
      <c r="B281" s="186"/>
      <c r="C281" s="186"/>
    </row>
    <row r="282" spans="1:3" s="110" customFormat="1" ht="12.75">
      <c r="A282" s="484"/>
      <c r="B282" s="186"/>
      <c r="C282" s="186"/>
    </row>
    <row r="283" spans="1:3" s="110" customFormat="1" ht="12.75">
      <c r="A283" s="484"/>
      <c r="B283" s="186"/>
      <c r="C283" s="186"/>
    </row>
    <row r="284" spans="1:3" s="110" customFormat="1" ht="12.75">
      <c r="A284" s="484"/>
      <c r="B284" s="186"/>
      <c r="C284" s="186"/>
    </row>
    <row r="285" spans="1:3" s="110" customFormat="1" ht="12.75">
      <c r="A285" s="484"/>
      <c r="B285" s="186"/>
      <c r="C285" s="186"/>
    </row>
    <row r="286" spans="1:3" s="110" customFormat="1" ht="12.75">
      <c r="A286" s="484"/>
      <c r="B286" s="186"/>
      <c r="C286" s="186"/>
    </row>
    <row r="287" spans="1:3" s="110" customFormat="1" ht="12.75">
      <c r="A287" s="484"/>
      <c r="B287" s="186"/>
      <c r="C287" s="186"/>
    </row>
    <row r="288" spans="1:3" s="110" customFormat="1" ht="12.75">
      <c r="A288" s="484"/>
      <c r="B288" s="186"/>
      <c r="C288" s="186"/>
    </row>
    <row r="289" spans="1:3" s="110" customFormat="1" ht="12.75">
      <c r="A289" s="484"/>
      <c r="B289" s="186"/>
      <c r="C289" s="186"/>
    </row>
    <row r="290" spans="1:3" s="110" customFormat="1" ht="12.75">
      <c r="A290" s="484"/>
      <c r="B290" s="186"/>
      <c r="C290" s="186"/>
    </row>
    <row r="291" spans="1:3" s="110" customFormat="1" ht="12.75">
      <c r="A291" s="484"/>
      <c r="B291" s="186"/>
      <c r="C291" s="186"/>
    </row>
    <row r="292" spans="1:3" s="110" customFormat="1" ht="12.75">
      <c r="A292" s="484"/>
      <c r="B292" s="186"/>
      <c r="C292" s="186"/>
    </row>
    <row r="293" spans="1:3" s="110" customFormat="1" ht="12.75">
      <c r="A293" s="484"/>
      <c r="B293" s="186"/>
      <c r="C293" s="186"/>
    </row>
    <row r="294" spans="1:3" s="110" customFormat="1" ht="12.75">
      <c r="A294" s="484"/>
      <c r="B294" s="186"/>
      <c r="C294" s="186"/>
    </row>
    <row r="295" spans="1:3" s="110" customFormat="1" ht="12.75">
      <c r="A295" s="484"/>
      <c r="B295" s="186"/>
      <c r="C295" s="186"/>
    </row>
    <row r="296" spans="1:3" s="110" customFormat="1" ht="12.75">
      <c r="A296" s="484"/>
      <c r="B296" s="186"/>
      <c r="C296" s="186"/>
    </row>
    <row r="297" spans="1:3" s="110" customFormat="1" ht="12.75">
      <c r="A297" s="484"/>
      <c r="B297" s="186"/>
      <c r="C297" s="186"/>
    </row>
    <row r="298" spans="1:3" s="110" customFormat="1" ht="12.75">
      <c r="A298" s="484"/>
      <c r="B298" s="186"/>
      <c r="C298" s="186"/>
    </row>
    <row r="299" spans="1:3" s="110" customFormat="1" ht="12.75">
      <c r="A299" s="484"/>
      <c r="B299" s="186"/>
      <c r="C299" s="186"/>
    </row>
    <row r="300" spans="1:3" s="110" customFormat="1" ht="12.75">
      <c r="A300" s="484"/>
      <c r="B300" s="186"/>
      <c r="C300" s="186"/>
    </row>
    <row r="301" spans="1:3" s="110" customFormat="1" ht="12.75">
      <c r="A301" s="484"/>
      <c r="B301" s="186"/>
      <c r="C301" s="186"/>
    </row>
    <row r="302" spans="1:3" s="110" customFormat="1" ht="12.75">
      <c r="A302" s="484"/>
      <c r="B302" s="186"/>
      <c r="C302" s="186"/>
    </row>
    <row r="303" spans="1:3" s="110" customFormat="1" ht="12.75">
      <c r="A303" s="484"/>
      <c r="B303" s="186"/>
      <c r="C303" s="186"/>
    </row>
    <row r="304" spans="1:3" s="110" customFormat="1" ht="12.75">
      <c r="A304" s="484"/>
      <c r="B304" s="186"/>
      <c r="C304" s="186"/>
    </row>
    <row r="305" spans="1:3" s="110" customFormat="1" ht="12.75">
      <c r="A305" s="484"/>
      <c r="B305" s="186"/>
      <c r="C305" s="186"/>
    </row>
    <row r="306" spans="1:3" s="110" customFormat="1" ht="12.75">
      <c r="A306" s="484"/>
      <c r="B306" s="186"/>
      <c r="C306" s="186"/>
    </row>
    <row r="307" spans="1:3" s="110" customFormat="1" ht="12.75">
      <c r="A307" s="484"/>
      <c r="B307" s="186"/>
      <c r="C307" s="186"/>
    </row>
    <row r="308" spans="1:3" s="110" customFormat="1" ht="12.75">
      <c r="A308" s="484"/>
      <c r="B308" s="186"/>
      <c r="C308" s="186"/>
    </row>
    <row r="309" spans="1:3" s="110" customFormat="1" ht="12.75">
      <c r="A309" s="484"/>
      <c r="B309" s="186"/>
      <c r="C309" s="186"/>
    </row>
    <row r="310" spans="1:3" s="110" customFormat="1" ht="12.75">
      <c r="A310" s="484"/>
      <c r="B310" s="186"/>
      <c r="C310" s="186"/>
    </row>
    <row r="311" spans="1:3" s="110" customFormat="1" ht="12.75">
      <c r="A311" s="484"/>
      <c r="B311" s="186"/>
      <c r="C311" s="186"/>
    </row>
    <row r="312" spans="1:3" s="110" customFormat="1" ht="12.75">
      <c r="A312" s="484"/>
      <c r="B312" s="186"/>
      <c r="C312" s="186"/>
    </row>
    <row r="313" spans="1:3" s="110" customFormat="1" ht="12.75">
      <c r="A313" s="484"/>
      <c r="B313" s="186"/>
      <c r="C313" s="186"/>
    </row>
    <row r="314" spans="1:3" s="110" customFormat="1" ht="12.75">
      <c r="A314" s="484"/>
      <c r="B314" s="186"/>
      <c r="C314" s="186"/>
    </row>
    <row r="315" spans="1:3" s="110" customFormat="1" ht="12.75">
      <c r="A315" s="484"/>
      <c r="B315" s="186"/>
      <c r="C315" s="186"/>
    </row>
    <row r="316" spans="1:3" s="110" customFormat="1" ht="12.75">
      <c r="A316" s="484"/>
      <c r="B316" s="186"/>
      <c r="C316" s="186"/>
    </row>
    <row r="317" spans="1:3" s="110" customFormat="1" ht="12.75">
      <c r="A317" s="484"/>
      <c r="B317" s="186"/>
      <c r="C317" s="186"/>
    </row>
    <row r="318" spans="1:3" s="110" customFormat="1" ht="12.75">
      <c r="A318" s="484"/>
      <c r="B318" s="186"/>
      <c r="C318" s="186"/>
    </row>
    <row r="319" spans="1:3" s="110" customFormat="1" ht="12.75">
      <c r="A319" s="484"/>
      <c r="B319" s="186"/>
      <c r="C319" s="186"/>
    </row>
    <row r="320" spans="1:3" s="110" customFormat="1" ht="12.75">
      <c r="A320" s="484"/>
      <c r="B320" s="186"/>
      <c r="C320" s="186"/>
    </row>
    <row r="321" spans="1:3" s="110" customFormat="1" ht="12.75">
      <c r="A321" s="484"/>
      <c r="B321" s="186"/>
      <c r="C321" s="186"/>
    </row>
    <row r="322" spans="1:3" s="110" customFormat="1" ht="12.75">
      <c r="A322" s="484"/>
      <c r="B322" s="186"/>
      <c r="C322" s="186"/>
    </row>
    <row r="323" spans="1:3" s="110" customFormat="1" ht="12.75">
      <c r="A323" s="484"/>
      <c r="B323" s="186"/>
      <c r="C323" s="186"/>
    </row>
    <row r="324" spans="1:3" s="110" customFormat="1" ht="12.75">
      <c r="A324" s="484"/>
      <c r="B324" s="186"/>
      <c r="C324" s="186"/>
    </row>
    <row r="325" spans="1:3" s="110" customFormat="1" ht="12.75">
      <c r="A325" s="484"/>
      <c r="B325" s="186"/>
      <c r="C325" s="186"/>
    </row>
    <row r="326" spans="1:3" s="110" customFormat="1" ht="12.75">
      <c r="A326" s="484"/>
      <c r="B326" s="186"/>
      <c r="C326" s="186"/>
    </row>
    <row r="327" spans="1:3" s="110" customFormat="1" ht="12.75">
      <c r="A327" s="484"/>
      <c r="B327" s="186"/>
      <c r="C327" s="186"/>
    </row>
    <row r="328" spans="1:3" s="110" customFormat="1" ht="12.75">
      <c r="A328" s="484"/>
      <c r="B328" s="186"/>
      <c r="C328" s="186"/>
    </row>
    <row r="329" spans="1:3" s="110" customFormat="1" ht="12.75">
      <c r="A329" s="484"/>
      <c r="B329" s="186"/>
      <c r="C329" s="186"/>
    </row>
    <row r="330" spans="1:3" s="110" customFormat="1" ht="12.75">
      <c r="A330" s="484"/>
      <c r="B330" s="186"/>
      <c r="C330" s="186"/>
    </row>
    <row r="331" spans="1:3" s="110" customFormat="1" ht="12.75">
      <c r="A331" s="484"/>
      <c r="B331" s="186"/>
      <c r="C331" s="186"/>
    </row>
    <row r="332" spans="1:3" s="110" customFormat="1" ht="12.75">
      <c r="A332" s="484"/>
      <c r="B332" s="186"/>
      <c r="C332" s="186"/>
    </row>
    <row r="333" spans="1:3" s="110" customFormat="1" ht="12.75">
      <c r="A333" s="484"/>
      <c r="B333" s="186"/>
      <c r="C333" s="186"/>
    </row>
    <row r="334" spans="1:3" s="110" customFormat="1" ht="12.75">
      <c r="A334" s="484"/>
      <c r="B334" s="186"/>
      <c r="C334" s="186"/>
    </row>
    <row r="335" spans="1:3" s="110" customFormat="1" ht="12.75">
      <c r="A335" s="484"/>
      <c r="B335" s="186"/>
      <c r="C335" s="186"/>
    </row>
    <row r="336" spans="1:3" s="110" customFormat="1" ht="12.75">
      <c r="A336" s="484"/>
      <c r="B336" s="186"/>
      <c r="C336" s="186"/>
    </row>
    <row r="337" spans="1:3" s="110" customFormat="1" ht="12.75">
      <c r="A337" s="484"/>
      <c r="B337" s="186"/>
      <c r="C337" s="186"/>
    </row>
    <row r="338" spans="1:3" s="110" customFormat="1" ht="12.75">
      <c r="A338" s="484"/>
      <c r="B338" s="186"/>
      <c r="C338" s="186"/>
    </row>
    <row r="339" spans="1:3" s="110" customFormat="1" ht="12.75">
      <c r="A339" s="484"/>
      <c r="B339" s="186"/>
      <c r="C339" s="186"/>
    </row>
    <row r="340" spans="1:3" s="110" customFormat="1" ht="12.75">
      <c r="A340" s="484"/>
      <c r="B340" s="186"/>
      <c r="C340" s="186"/>
    </row>
    <row r="341" spans="1:3" s="110" customFormat="1" ht="12.75">
      <c r="A341" s="484"/>
      <c r="B341" s="186"/>
      <c r="C341" s="186"/>
    </row>
    <row r="342" spans="1:3" s="110" customFormat="1" ht="12.75">
      <c r="A342" s="484"/>
      <c r="B342" s="186"/>
      <c r="C342" s="186"/>
    </row>
    <row r="343" spans="1:3" s="110" customFormat="1" ht="12.75">
      <c r="A343" s="484"/>
      <c r="B343" s="186"/>
      <c r="C343" s="186"/>
    </row>
    <row r="344" spans="1:3" s="110" customFormat="1" ht="12.75">
      <c r="A344" s="484"/>
      <c r="B344" s="186"/>
      <c r="C344" s="186"/>
    </row>
    <row r="345" spans="1:3" s="110" customFormat="1" ht="12.75">
      <c r="A345" s="484"/>
      <c r="B345" s="186"/>
      <c r="C345" s="186"/>
    </row>
    <row r="346" spans="1:3" s="110" customFormat="1" ht="12.75">
      <c r="A346" s="484"/>
      <c r="B346" s="186"/>
      <c r="C346" s="186"/>
    </row>
    <row r="347" spans="1:3" s="110" customFormat="1" ht="12.75">
      <c r="A347" s="484"/>
      <c r="B347" s="186"/>
      <c r="C347" s="186"/>
    </row>
    <row r="348" spans="1:3" s="110" customFormat="1" ht="12.75">
      <c r="A348" s="484"/>
      <c r="B348" s="186"/>
      <c r="C348" s="186"/>
    </row>
    <row r="349" spans="1:3" s="110" customFormat="1" ht="12.75">
      <c r="A349" s="484"/>
      <c r="B349" s="186"/>
      <c r="C349" s="186"/>
    </row>
    <row r="350" spans="1:3" s="110" customFormat="1" ht="12.75">
      <c r="A350" s="484"/>
      <c r="B350" s="186"/>
      <c r="C350" s="186"/>
    </row>
    <row r="351" spans="1:3" s="110" customFormat="1" ht="12.75">
      <c r="A351" s="484"/>
      <c r="B351" s="186"/>
      <c r="C351" s="186"/>
    </row>
    <row r="352" spans="1:3" s="110" customFormat="1" ht="12.75">
      <c r="A352" s="484"/>
      <c r="B352" s="186"/>
      <c r="C352" s="186"/>
    </row>
    <row r="353" spans="1:3" s="110" customFormat="1" ht="12.75">
      <c r="A353" s="484"/>
      <c r="B353" s="186"/>
      <c r="C353" s="186"/>
    </row>
    <row r="354" spans="1:3" s="110" customFormat="1" ht="12.75">
      <c r="A354" s="484"/>
      <c r="B354" s="186"/>
      <c r="C354" s="186"/>
    </row>
    <row r="355" spans="1:3" s="110" customFormat="1" ht="12.75">
      <c r="A355" s="484"/>
      <c r="B355" s="186"/>
      <c r="C355" s="186"/>
    </row>
    <row r="356" spans="1:3" s="110" customFormat="1" ht="12.75">
      <c r="A356" s="484"/>
      <c r="B356" s="186"/>
      <c r="C356" s="186"/>
    </row>
    <row r="357" spans="1:3" s="110" customFormat="1" ht="12.75">
      <c r="A357" s="484"/>
      <c r="B357" s="186"/>
      <c r="C357" s="186"/>
    </row>
    <row r="358" spans="1:3" s="110" customFormat="1" ht="12.75">
      <c r="A358" s="484"/>
      <c r="B358" s="186"/>
      <c r="C358" s="186"/>
    </row>
    <row r="359" spans="1:3" s="110" customFormat="1" ht="12.75">
      <c r="A359" s="484"/>
      <c r="B359" s="186"/>
      <c r="C359" s="186"/>
    </row>
    <row r="360" spans="1:3" s="110" customFormat="1" ht="12.75">
      <c r="A360" s="484"/>
      <c r="B360" s="186"/>
      <c r="C360" s="186"/>
    </row>
    <row r="361" spans="1:3" s="110" customFormat="1" ht="12.75">
      <c r="A361" s="484"/>
      <c r="B361" s="186"/>
      <c r="C361" s="186"/>
    </row>
    <row r="362" spans="1:3" s="110" customFormat="1" ht="12.75">
      <c r="A362" s="484"/>
      <c r="B362" s="186"/>
      <c r="C362" s="186"/>
    </row>
    <row r="363" spans="1:3" s="110" customFormat="1" ht="12.75">
      <c r="A363" s="484"/>
      <c r="B363" s="186"/>
      <c r="C363" s="186"/>
    </row>
    <row r="364" spans="1:3" s="110" customFormat="1" ht="12.75">
      <c r="A364" s="484"/>
      <c r="B364" s="186"/>
      <c r="C364" s="186"/>
    </row>
    <row r="365" spans="1:3" s="110" customFormat="1" ht="12.75">
      <c r="A365" s="484"/>
      <c r="B365" s="186"/>
      <c r="C365" s="186"/>
    </row>
    <row r="366" spans="1:3" s="110" customFormat="1" ht="12.75">
      <c r="A366" s="484"/>
      <c r="B366" s="186"/>
      <c r="C366" s="186"/>
    </row>
    <row r="367" spans="1:3" s="110" customFormat="1" ht="12.75">
      <c r="A367" s="484"/>
      <c r="B367" s="186"/>
      <c r="C367" s="186"/>
    </row>
    <row r="368" spans="1:3" s="110" customFormat="1" ht="12.75">
      <c r="A368" s="484"/>
      <c r="B368" s="186"/>
      <c r="C368" s="186"/>
    </row>
    <row r="369" spans="1:3" s="110" customFormat="1" ht="12.75">
      <c r="A369" s="484"/>
      <c r="B369" s="186"/>
      <c r="C369" s="186"/>
    </row>
    <row r="370" spans="1:3" s="110" customFormat="1" ht="12.75">
      <c r="A370" s="484"/>
      <c r="B370" s="186"/>
      <c r="C370" s="186"/>
    </row>
    <row r="371" spans="1:3" s="110" customFormat="1" ht="12.75">
      <c r="A371" s="484"/>
      <c r="B371" s="186"/>
      <c r="C371" s="186"/>
    </row>
    <row r="372" spans="1:3" s="110" customFormat="1" ht="12.75">
      <c r="A372" s="484"/>
      <c r="B372" s="186"/>
      <c r="C372" s="186"/>
    </row>
    <row r="373" spans="1:3" s="110" customFormat="1" ht="12.75">
      <c r="A373" s="484"/>
      <c r="B373" s="186"/>
      <c r="C373" s="186"/>
    </row>
    <row r="374" spans="1:3" s="110" customFormat="1" ht="12.75">
      <c r="A374" s="484"/>
      <c r="B374" s="186"/>
      <c r="C374" s="186"/>
    </row>
    <row r="375" spans="1:3" s="110" customFormat="1" ht="12.75">
      <c r="A375" s="484"/>
      <c r="B375" s="186"/>
      <c r="C375" s="186"/>
    </row>
    <row r="376" spans="1:3" s="110" customFormat="1" ht="12.75">
      <c r="A376" s="484"/>
      <c r="B376" s="186"/>
      <c r="C376" s="186"/>
    </row>
    <row r="377" spans="1:3" s="110" customFormat="1" ht="12.75">
      <c r="A377" s="484"/>
      <c r="B377" s="186"/>
      <c r="C377" s="186"/>
    </row>
    <row r="378" spans="1:3" s="110" customFormat="1" ht="12.75">
      <c r="A378" s="484"/>
      <c r="B378" s="186"/>
      <c r="C378" s="186"/>
    </row>
    <row r="379" spans="1:3" s="110" customFormat="1" ht="12.75">
      <c r="A379" s="484"/>
      <c r="B379" s="186"/>
      <c r="C379" s="186"/>
    </row>
    <row r="380" spans="1:3" s="110" customFormat="1" ht="12.75">
      <c r="A380" s="484"/>
      <c r="B380" s="186"/>
      <c r="C380" s="186"/>
    </row>
    <row r="381" spans="1:3" s="110" customFormat="1" ht="12.75">
      <c r="A381" s="484"/>
      <c r="B381" s="186"/>
      <c r="C381" s="186"/>
    </row>
    <row r="382" spans="1:3" s="110" customFormat="1" ht="12.75">
      <c r="A382" s="484"/>
      <c r="B382" s="186"/>
      <c r="C382" s="186"/>
    </row>
    <row r="383" spans="1:3" s="110" customFormat="1" ht="12.75">
      <c r="A383" s="484"/>
      <c r="B383" s="186"/>
      <c r="C383" s="186"/>
    </row>
    <row r="384" spans="1:3" s="110" customFormat="1" ht="12.75">
      <c r="A384" s="484"/>
      <c r="B384" s="186"/>
      <c r="C384" s="186"/>
    </row>
    <row r="385" spans="1:3" s="110" customFormat="1" ht="12.75">
      <c r="A385" s="484"/>
      <c r="B385" s="186"/>
      <c r="C385" s="186"/>
    </row>
    <row r="386" spans="1:3" s="110" customFormat="1" ht="12.75">
      <c r="A386" s="484"/>
      <c r="B386" s="186"/>
      <c r="C386" s="186"/>
    </row>
    <row r="387" spans="1:3" s="110" customFormat="1" ht="12.75">
      <c r="A387" s="484"/>
      <c r="B387" s="186"/>
      <c r="C387" s="186"/>
    </row>
    <row r="388" spans="1:3" s="110" customFormat="1" ht="12.75">
      <c r="A388" s="484"/>
      <c r="B388" s="186"/>
      <c r="C388" s="186"/>
    </row>
    <row r="389" spans="1:3" s="110" customFormat="1" ht="12.75">
      <c r="A389" s="484"/>
      <c r="B389" s="186"/>
      <c r="C389" s="186"/>
    </row>
    <row r="390" spans="1:3" s="110" customFormat="1" ht="12.75">
      <c r="A390" s="484"/>
      <c r="B390" s="186"/>
      <c r="C390" s="186"/>
    </row>
    <row r="391" spans="1:3" s="110" customFormat="1" ht="12.75">
      <c r="A391" s="484"/>
      <c r="B391" s="186"/>
      <c r="C391" s="186"/>
    </row>
    <row r="392" spans="1:3" s="110" customFormat="1" ht="12.75">
      <c r="A392" s="484"/>
      <c r="B392" s="186"/>
      <c r="C392" s="186"/>
    </row>
    <row r="393" spans="1:3" s="110" customFormat="1" ht="12.75">
      <c r="A393" s="484"/>
      <c r="B393" s="186"/>
      <c r="C393" s="186"/>
    </row>
    <row r="394" spans="1:3" s="110" customFormat="1" ht="12.75">
      <c r="A394" s="484"/>
      <c r="B394" s="186"/>
      <c r="C394" s="186"/>
    </row>
    <row r="395" spans="1:3" s="110" customFormat="1" ht="12.75">
      <c r="A395" s="484"/>
      <c r="B395" s="186"/>
      <c r="C395" s="186"/>
    </row>
    <row r="396" spans="1:3" s="110" customFormat="1" ht="12.75">
      <c r="A396" s="484"/>
      <c r="B396" s="186"/>
      <c r="C396" s="186"/>
    </row>
    <row r="397" spans="1:3" s="110" customFormat="1" ht="12.75">
      <c r="A397" s="484"/>
      <c r="B397" s="186"/>
      <c r="C397" s="186"/>
    </row>
    <row r="398" spans="1:3" s="110" customFormat="1" ht="12.75">
      <c r="A398" s="484"/>
      <c r="B398" s="186"/>
      <c r="C398" s="186"/>
    </row>
    <row r="399" spans="1:3" s="110" customFormat="1" ht="12.75">
      <c r="A399" s="484"/>
      <c r="B399" s="186"/>
      <c r="C399" s="186"/>
    </row>
    <row r="400" spans="1:3" s="110" customFormat="1" ht="12.75">
      <c r="A400" s="484"/>
      <c r="B400" s="186"/>
      <c r="C400" s="186"/>
    </row>
    <row r="401" spans="1:3" s="110" customFormat="1" ht="12.75">
      <c r="A401" s="484"/>
      <c r="B401" s="186"/>
      <c r="C401" s="186"/>
    </row>
    <row r="402" spans="1:3" s="110" customFormat="1" ht="12.75">
      <c r="A402" s="484"/>
      <c r="B402" s="186"/>
      <c r="C402" s="186"/>
    </row>
    <row r="403" spans="1:3" s="110" customFormat="1" ht="12.75">
      <c r="A403" s="484"/>
      <c r="B403" s="186"/>
      <c r="C403" s="186"/>
    </row>
    <row r="404" spans="1:3" s="110" customFormat="1" ht="12.75">
      <c r="A404" s="484"/>
      <c r="B404" s="186"/>
      <c r="C404" s="186"/>
    </row>
    <row r="405" spans="1:3" s="110" customFormat="1" ht="12.75">
      <c r="A405" s="484"/>
      <c r="B405" s="186"/>
      <c r="C405" s="186"/>
    </row>
    <row r="406" spans="1:3" s="110" customFormat="1" ht="12.75">
      <c r="A406" s="484"/>
      <c r="B406" s="186"/>
      <c r="C406" s="186"/>
    </row>
    <row r="407" spans="1:3" s="110" customFormat="1" ht="12.75">
      <c r="A407" s="484"/>
      <c r="B407" s="186"/>
      <c r="C407" s="186"/>
    </row>
    <row r="408" spans="1:3" s="110" customFormat="1" ht="12.75">
      <c r="A408" s="484"/>
      <c r="B408" s="186"/>
      <c r="C408" s="186"/>
    </row>
    <row r="409" spans="1:3" s="110" customFormat="1" ht="12.75">
      <c r="A409" s="484"/>
      <c r="B409" s="186"/>
      <c r="C409" s="186"/>
    </row>
    <row r="410" spans="1:3" s="110" customFormat="1" ht="12.75">
      <c r="A410" s="484"/>
      <c r="B410" s="186"/>
      <c r="C410" s="186"/>
    </row>
    <row r="411" spans="1:3" s="110" customFormat="1" ht="12.75">
      <c r="A411" s="484"/>
      <c r="B411" s="186"/>
      <c r="C411" s="186"/>
    </row>
    <row r="412" spans="1:3" s="110" customFormat="1" ht="12.75">
      <c r="A412" s="484"/>
      <c r="B412" s="186"/>
      <c r="C412" s="186"/>
    </row>
    <row r="413" spans="1:3" s="110" customFormat="1" ht="12.75">
      <c r="A413" s="484"/>
      <c r="B413" s="186"/>
      <c r="C413" s="186"/>
    </row>
    <row r="414" spans="1:3" s="110" customFormat="1" ht="12.75">
      <c r="A414" s="484"/>
      <c r="B414" s="186"/>
      <c r="C414" s="186"/>
    </row>
    <row r="415" spans="1:3" s="110" customFormat="1" ht="12.75">
      <c r="A415" s="484"/>
      <c r="B415" s="186"/>
      <c r="C415" s="186"/>
    </row>
    <row r="416" spans="1:3" s="110" customFormat="1" ht="12.75">
      <c r="A416" s="484"/>
      <c r="B416" s="186"/>
      <c r="C416" s="186"/>
    </row>
    <row r="417" spans="1:3" s="110" customFormat="1" ht="12.75">
      <c r="A417" s="484"/>
      <c r="B417" s="186"/>
      <c r="C417" s="186"/>
    </row>
    <row r="418" spans="1:3" s="110" customFormat="1" ht="12.75">
      <c r="A418" s="484"/>
      <c r="B418" s="186"/>
      <c r="C418" s="186"/>
    </row>
    <row r="419" spans="1:3" s="110" customFormat="1" ht="12.75">
      <c r="A419" s="484"/>
      <c r="B419" s="186"/>
      <c r="C419" s="186"/>
    </row>
    <row r="420" spans="1:3" s="110" customFormat="1" ht="12.75">
      <c r="A420" s="484"/>
      <c r="B420" s="186"/>
      <c r="C420" s="186"/>
    </row>
    <row r="421" spans="1:3" s="110" customFormat="1" ht="12.75">
      <c r="A421" s="484"/>
      <c r="B421" s="186"/>
      <c r="C421" s="186"/>
    </row>
    <row r="422" spans="1:3" s="110" customFormat="1" ht="12.75">
      <c r="A422" s="484"/>
      <c r="B422" s="186"/>
      <c r="C422" s="186"/>
    </row>
    <row r="423" spans="1:3" s="110" customFormat="1" ht="12.75">
      <c r="A423" s="484"/>
      <c r="B423" s="186"/>
      <c r="C423" s="186"/>
    </row>
    <row r="424" spans="1:3" s="110" customFormat="1" ht="12.75">
      <c r="A424" s="484"/>
      <c r="B424" s="186"/>
      <c r="C424" s="186"/>
    </row>
    <row r="425" spans="1:3" s="110" customFormat="1" ht="12.75">
      <c r="A425" s="484"/>
      <c r="B425" s="186"/>
      <c r="C425" s="186"/>
    </row>
    <row r="426" spans="1:3" s="110" customFormat="1" ht="12.75">
      <c r="A426" s="484"/>
      <c r="B426" s="186"/>
      <c r="C426" s="186"/>
    </row>
    <row r="427" spans="1:3" s="110" customFormat="1" ht="12.75">
      <c r="A427" s="484"/>
      <c r="B427" s="186"/>
      <c r="C427" s="186"/>
    </row>
    <row r="428" spans="1:3" s="110" customFormat="1" ht="12.75">
      <c r="A428" s="484"/>
      <c r="B428" s="186"/>
      <c r="C428" s="186"/>
    </row>
    <row r="429" spans="1:3" s="110" customFormat="1" ht="12.75">
      <c r="A429" s="484"/>
      <c r="B429" s="186"/>
      <c r="C429" s="186"/>
    </row>
    <row r="430" spans="1:3" s="110" customFormat="1" ht="12.75">
      <c r="A430" s="484"/>
      <c r="B430" s="186"/>
      <c r="C430" s="186"/>
    </row>
    <row r="431" spans="1:3" s="110" customFormat="1" ht="12.75">
      <c r="A431" s="484"/>
      <c r="B431" s="186"/>
      <c r="C431" s="186"/>
    </row>
    <row r="432" spans="1:3" s="110" customFormat="1" ht="12.75">
      <c r="A432" s="484"/>
      <c r="B432" s="186"/>
      <c r="C432" s="186"/>
    </row>
    <row r="433" spans="1:3" s="110" customFormat="1" ht="12.75">
      <c r="A433" s="484"/>
      <c r="B433" s="186"/>
      <c r="C433" s="186"/>
    </row>
    <row r="434" spans="1:3" s="110" customFormat="1" ht="12.75">
      <c r="A434" s="484"/>
      <c r="B434" s="186"/>
      <c r="C434" s="186"/>
    </row>
    <row r="435" spans="1:3" s="110" customFormat="1" ht="12.75">
      <c r="A435" s="484"/>
      <c r="B435" s="186"/>
      <c r="C435" s="186"/>
    </row>
    <row r="436" spans="1:3" s="110" customFormat="1" ht="12.75">
      <c r="A436" s="484"/>
      <c r="B436" s="186"/>
      <c r="C436" s="186"/>
    </row>
    <row r="437" spans="1:3" s="110" customFormat="1" ht="12.75">
      <c r="A437" s="484"/>
      <c r="B437" s="186"/>
      <c r="C437" s="186"/>
    </row>
    <row r="438" spans="1:3" s="110" customFormat="1" ht="12.75">
      <c r="A438" s="484"/>
      <c r="B438" s="186"/>
      <c r="C438" s="186"/>
    </row>
    <row r="439" spans="1:3" s="110" customFormat="1" ht="12.75">
      <c r="A439" s="484"/>
      <c r="B439" s="186"/>
      <c r="C439" s="186"/>
    </row>
    <row r="440" spans="1:3" s="110" customFormat="1" ht="12.75">
      <c r="A440" s="484"/>
      <c r="B440" s="186"/>
      <c r="C440" s="186"/>
    </row>
    <row r="441" spans="1:3" s="110" customFormat="1" ht="12.75">
      <c r="A441" s="484"/>
      <c r="B441" s="186"/>
      <c r="C441" s="186"/>
    </row>
    <row r="442" spans="1:3" s="110" customFormat="1" ht="12.75">
      <c r="A442" s="484"/>
      <c r="B442" s="186"/>
      <c r="C442" s="186"/>
    </row>
    <row r="443" spans="1:3" s="110" customFormat="1" ht="12.75">
      <c r="A443" s="484"/>
      <c r="B443" s="186"/>
      <c r="C443" s="186"/>
    </row>
    <row r="444" spans="1:3" s="110" customFormat="1" ht="12.75">
      <c r="A444" s="484"/>
      <c r="B444" s="186"/>
      <c r="C444" s="186"/>
    </row>
    <row r="445" spans="1:3" s="110" customFormat="1" ht="12.75">
      <c r="A445" s="484"/>
      <c r="B445" s="186"/>
      <c r="C445" s="186"/>
    </row>
    <row r="446" spans="1:3" s="110" customFormat="1" ht="12.75">
      <c r="A446" s="484"/>
      <c r="B446" s="186"/>
      <c r="C446" s="186"/>
    </row>
    <row r="447" spans="1:3" s="110" customFormat="1" ht="12.75">
      <c r="A447" s="484"/>
      <c r="B447" s="186"/>
      <c r="C447" s="186"/>
    </row>
    <row r="448" spans="1:3" s="110" customFormat="1" ht="12.75">
      <c r="A448" s="484"/>
      <c r="B448" s="186"/>
      <c r="C448" s="186"/>
    </row>
    <row r="449" spans="1:3" s="110" customFormat="1" ht="12.75">
      <c r="A449" s="484"/>
      <c r="B449" s="186"/>
      <c r="C449" s="186"/>
    </row>
    <row r="450" spans="1:3" s="110" customFormat="1" ht="12.75">
      <c r="A450" s="484"/>
      <c r="B450" s="186"/>
      <c r="C450" s="186"/>
    </row>
    <row r="451" spans="1:3" s="110" customFormat="1" ht="12.75">
      <c r="A451" s="484"/>
      <c r="B451" s="186"/>
      <c r="C451" s="186"/>
    </row>
    <row r="452" spans="1:3" s="110" customFormat="1" ht="12.75">
      <c r="A452" s="484"/>
      <c r="B452" s="186"/>
      <c r="C452" s="186"/>
    </row>
    <row r="453" spans="1:3" s="110" customFormat="1" ht="12.75">
      <c r="A453" s="484"/>
      <c r="B453" s="186"/>
      <c r="C453" s="186"/>
    </row>
    <row r="454" spans="1:3" s="110" customFormat="1" ht="12.75">
      <c r="A454" s="484"/>
      <c r="B454" s="186"/>
      <c r="C454" s="186"/>
    </row>
    <row r="455" spans="1:3" s="110" customFormat="1" ht="12.75">
      <c r="A455" s="484"/>
      <c r="B455" s="186"/>
      <c r="C455" s="186"/>
    </row>
    <row r="456" spans="1:3" s="110" customFormat="1" ht="12.75">
      <c r="A456" s="484"/>
      <c r="B456" s="186"/>
      <c r="C456" s="186"/>
    </row>
    <row r="457" spans="1:3" s="110" customFormat="1" ht="12.75">
      <c r="A457" s="484"/>
      <c r="B457" s="186"/>
      <c r="C457" s="186"/>
    </row>
    <row r="458" spans="1:3" s="110" customFormat="1" ht="12.75">
      <c r="A458" s="484"/>
      <c r="B458" s="186"/>
      <c r="C458" s="186"/>
    </row>
    <row r="459" spans="1:3" s="110" customFormat="1" ht="12.75">
      <c r="A459" s="484"/>
      <c r="B459" s="186"/>
      <c r="C459" s="186"/>
    </row>
    <row r="460" spans="1:3" s="110" customFormat="1" ht="12.75">
      <c r="A460" s="484"/>
      <c r="B460" s="186"/>
      <c r="C460" s="186"/>
    </row>
    <row r="461" spans="1:3" s="110" customFormat="1" ht="12.75">
      <c r="A461" s="484"/>
      <c r="B461" s="186"/>
      <c r="C461" s="186"/>
    </row>
    <row r="462" spans="1:3" s="110" customFormat="1" ht="12.75">
      <c r="A462" s="484"/>
      <c r="B462" s="186"/>
      <c r="C462" s="186"/>
    </row>
    <row r="463" spans="1:3" s="110" customFormat="1" ht="12.75">
      <c r="A463" s="484"/>
      <c r="B463" s="186"/>
      <c r="C463" s="186"/>
    </row>
    <row r="464" spans="1:3" s="110" customFormat="1" ht="12.75">
      <c r="A464" s="484"/>
      <c r="B464" s="186"/>
      <c r="C464" s="186"/>
    </row>
    <row r="465" spans="1:3" s="110" customFormat="1" ht="12.75">
      <c r="A465" s="484"/>
      <c r="B465" s="186"/>
      <c r="C465" s="186"/>
    </row>
    <row r="466" spans="1:3" s="110" customFormat="1" ht="12.75">
      <c r="A466" s="484"/>
      <c r="B466" s="186"/>
      <c r="C466" s="186"/>
    </row>
    <row r="467" spans="1:3" s="110" customFormat="1" ht="12.75">
      <c r="A467" s="484"/>
      <c r="B467" s="186"/>
      <c r="C467" s="186"/>
    </row>
    <row r="468" spans="1:3" s="110" customFormat="1" ht="12.75">
      <c r="A468" s="484"/>
      <c r="B468" s="186"/>
      <c r="C468" s="186"/>
    </row>
    <row r="469" spans="1:3" s="110" customFormat="1" ht="12.75">
      <c r="A469" s="484"/>
      <c r="B469" s="186"/>
      <c r="C469" s="186"/>
    </row>
    <row r="470" spans="1:3" s="110" customFormat="1" ht="12.75">
      <c r="A470" s="484"/>
      <c r="B470" s="186"/>
      <c r="C470" s="186"/>
    </row>
    <row r="471" spans="1:3" s="110" customFormat="1" ht="12.75">
      <c r="A471" s="484"/>
      <c r="B471" s="186"/>
      <c r="C471" s="186"/>
    </row>
    <row r="472" spans="1:3" s="110" customFormat="1" ht="12.75">
      <c r="A472" s="484"/>
      <c r="B472" s="186"/>
      <c r="C472" s="186"/>
    </row>
    <row r="473" spans="1:3" s="110" customFormat="1" ht="12.75">
      <c r="A473" s="484"/>
      <c r="B473" s="186"/>
      <c r="C473" s="186"/>
    </row>
    <row r="474" spans="1:3" s="110" customFormat="1" ht="12.75">
      <c r="A474" s="484"/>
      <c r="B474" s="186"/>
      <c r="C474" s="186"/>
    </row>
    <row r="475" spans="1:3" s="110" customFormat="1" ht="12.75">
      <c r="A475" s="484"/>
      <c r="B475" s="186"/>
      <c r="C475" s="186"/>
    </row>
    <row r="476" spans="1:3" s="110" customFormat="1" ht="12.75">
      <c r="A476" s="484"/>
      <c r="B476" s="186"/>
      <c r="C476" s="186"/>
    </row>
    <row r="477" spans="1:3" s="110" customFormat="1" ht="12.75">
      <c r="A477" s="484"/>
      <c r="B477" s="186"/>
      <c r="C477" s="186"/>
    </row>
    <row r="478" spans="1:3" s="110" customFormat="1" ht="12.75">
      <c r="A478" s="484"/>
      <c r="B478" s="186"/>
      <c r="C478" s="186"/>
    </row>
    <row r="479" spans="1:3" s="110" customFormat="1" ht="12.75">
      <c r="A479" s="484"/>
      <c r="B479" s="186"/>
      <c r="C479" s="186"/>
    </row>
    <row r="480" spans="1:3" s="110" customFormat="1" ht="12.75">
      <c r="A480" s="484"/>
      <c r="B480" s="186"/>
      <c r="C480" s="186"/>
    </row>
    <row r="481" spans="1:3" s="110" customFormat="1" ht="12.75">
      <c r="A481" s="484"/>
      <c r="B481" s="186"/>
      <c r="C481" s="186"/>
    </row>
    <row r="482" spans="1:3" s="110" customFormat="1" ht="12.75">
      <c r="A482" s="484"/>
      <c r="B482" s="186"/>
      <c r="C482" s="186"/>
    </row>
    <row r="483" spans="1:3" s="110" customFormat="1" ht="12.75">
      <c r="A483" s="484"/>
      <c r="B483" s="186"/>
      <c r="C483" s="186"/>
    </row>
    <row r="484" spans="1:3" s="110" customFormat="1" ht="12.75">
      <c r="A484" s="484"/>
      <c r="B484" s="186"/>
      <c r="C484" s="186"/>
    </row>
    <row r="485" spans="1:3" s="110" customFormat="1" ht="12.75">
      <c r="A485" s="484"/>
      <c r="B485" s="186"/>
      <c r="C485" s="186"/>
    </row>
    <row r="486" spans="1:3" s="110" customFormat="1" ht="12.75">
      <c r="A486" s="484"/>
      <c r="B486" s="186"/>
      <c r="C486" s="186"/>
    </row>
    <row r="487" spans="1:3" s="110" customFormat="1" ht="12.75">
      <c r="A487" s="484"/>
      <c r="B487" s="186"/>
      <c r="C487" s="186"/>
    </row>
    <row r="488" spans="1:3" s="110" customFormat="1" ht="12.75">
      <c r="A488" s="484"/>
      <c r="B488" s="186"/>
      <c r="C488" s="186"/>
    </row>
    <row r="489" spans="1:3" s="110" customFormat="1" ht="12.75">
      <c r="A489" s="484"/>
      <c r="B489" s="186"/>
      <c r="C489" s="186"/>
    </row>
    <row r="490" spans="1:3" s="110" customFormat="1" ht="12.75">
      <c r="A490" s="484"/>
      <c r="B490" s="186"/>
      <c r="C490" s="186"/>
    </row>
    <row r="491" spans="1:3" s="110" customFormat="1" ht="12.75">
      <c r="A491" s="484"/>
      <c r="B491" s="186"/>
      <c r="C491" s="186"/>
    </row>
    <row r="492" spans="1:3" s="110" customFormat="1" ht="12.75">
      <c r="A492" s="484"/>
      <c r="B492" s="186"/>
      <c r="C492" s="186"/>
    </row>
    <row r="493" spans="1:3" s="110" customFormat="1" ht="12.75">
      <c r="A493" s="484"/>
      <c r="B493" s="186"/>
      <c r="C493" s="186"/>
    </row>
    <row r="494" spans="1:3" s="110" customFormat="1" ht="12.75">
      <c r="A494" s="484"/>
      <c r="B494" s="186"/>
      <c r="C494" s="186"/>
    </row>
    <row r="495" spans="1:3" s="110" customFormat="1" ht="12.75">
      <c r="A495" s="484"/>
      <c r="B495" s="186"/>
      <c r="C495" s="186"/>
    </row>
    <row r="496" spans="1:3" s="110" customFormat="1" ht="12.75">
      <c r="A496" s="484"/>
      <c r="B496" s="186"/>
      <c r="C496" s="186"/>
    </row>
    <row r="497" spans="1:3" s="110" customFormat="1" ht="12.75">
      <c r="A497" s="484"/>
      <c r="B497" s="186"/>
      <c r="C497" s="186"/>
    </row>
    <row r="498" spans="1:3" s="110" customFormat="1" ht="12.75">
      <c r="A498" s="484"/>
      <c r="B498" s="186"/>
      <c r="C498" s="186"/>
    </row>
    <row r="499" spans="1:3" s="110" customFormat="1" ht="12.75">
      <c r="A499" s="484"/>
      <c r="B499" s="186"/>
      <c r="C499" s="186"/>
    </row>
    <row r="500" spans="1:3" s="110" customFormat="1" ht="12.75">
      <c r="A500" s="484"/>
      <c r="B500" s="186"/>
      <c r="C500" s="186"/>
    </row>
    <row r="501" spans="1:3" s="110" customFormat="1" ht="12.75">
      <c r="A501" s="484"/>
      <c r="B501" s="186"/>
      <c r="C501" s="186"/>
    </row>
    <row r="502" spans="1:3" s="110" customFormat="1" ht="12.75">
      <c r="A502" s="484"/>
      <c r="B502" s="186"/>
      <c r="C502" s="186"/>
    </row>
    <row r="503" spans="1:3" s="110" customFormat="1" ht="12.75">
      <c r="A503" s="484"/>
      <c r="B503" s="186"/>
      <c r="C503" s="186"/>
    </row>
    <row r="504" spans="1:3" s="110" customFormat="1" ht="12.75">
      <c r="A504" s="484"/>
      <c r="B504" s="186"/>
      <c r="C504" s="186"/>
    </row>
    <row r="505" spans="1:3" s="110" customFormat="1" ht="12.75">
      <c r="A505" s="484"/>
      <c r="B505" s="186"/>
      <c r="C505" s="186"/>
    </row>
    <row r="506" spans="1:3" s="110" customFormat="1" ht="12.75">
      <c r="A506" s="484"/>
      <c r="B506" s="186"/>
      <c r="C506" s="186"/>
    </row>
    <row r="507" spans="1:3" s="110" customFormat="1" ht="12.75">
      <c r="A507" s="484"/>
      <c r="B507" s="186"/>
      <c r="C507" s="186"/>
    </row>
    <row r="508" spans="1:3" s="110" customFormat="1" ht="12.75">
      <c r="A508" s="484"/>
      <c r="B508" s="186"/>
      <c r="C508" s="186"/>
    </row>
    <row r="509" spans="1:3" s="110" customFormat="1" ht="12.75">
      <c r="A509" s="484"/>
      <c r="B509" s="186"/>
      <c r="C509" s="186"/>
    </row>
    <row r="510" spans="1:3" s="110" customFormat="1" ht="12.75">
      <c r="A510" s="484"/>
      <c r="B510" s="186"/>
      <c r="C510" s="186"/>
    </row>
    <row r="511" spans="1:3" s="110" customFormat="1" ht="12.75">
      <c r="A511" s="484"/>
      <c r="B511" s="186"/>
      <c r="C511" s="186"/>
    </row>
    <row r="512" spans="1:3" s="110" customFormat="1" ht="12.75">
      <c r="A512" s="484"/>
      <c r="B512" s="186"/>
      <c r="C512" s="186"/>
    </row>
    <row r="513" spans="1:3" s="110" customFormat="1" ht="12.75">
      <c r="A513" s="484"/>
      <c r="B513" s="186"/>
      <c r="C513" s="186"/>
    </row>
    <row r="514" spans="1:3" s="110" customFormat="1" ht="12.75">
      <c r="A514" s="484"/>
      <c r="B514" s="186"/>
      <c r="C514" s="186"/>
    </row>
    <row r="515" spans="1:3" s="110" customFormat="1" ht="12.75">
      <c r="A515" s="484"/>
      <c r="B515" s="186"/>
      <c r="C515" s="186"/>
    </row>
    <row r="516" spans="1:3" s="110" customFormat="1" ht="12.75">
      <c r="A516" s="484"/>
      <c r="B516" s="186"/>
      <c r="C516" s="186"/>
    </row>
    <row r="517" spans="1:3" s="110" customFormat="1" ht="12.75">
      <c r="A517" s="484"/>
      <c r="B517" s="186"/>
      <c r="C517" s="186"/>
    </row>
    <row r="518" spans="1:3" s="110" customFormat="1" ht="12.75">
      <c r="A518" s="484"/>
      <c r="B518" s="186"/>
      <c r="C518" s="186"/>
    </row>
    <row r="519" spans="1:3" s="110" customFormat="1" ht="12.75">
      <c r="A519" s="484"/>
      <c r="B519" s="186"/>
      <c r="C519" s="186"/>
    </row>
    <row r="520" spans="1:3" s="110" customFormat="1" ht="12.75">
      <c r="A520" s="484"/>
      <c r="B520" s="186"/>
      <c r="C520" s="186"/>
    </row>
    <row r="521" spans="1:3" s="110" customFormat="1" ht="12.75">
      <c r="A521" s="484"/>
      <c r="B521" s="186"/>
      <c r="C521" s="186"/>
    </row>
    <row r="522" spans="1:3" s="110" customFormat="1" ht="12.75">
      <c r="A522" s="484"/>
      <c r="B522" s="186"/>
      <c r="C522" s="186"/>
    </row>
    <row r="523" spans="1:3" s="110" customFormat="1" ht="12.75">
      <c r="A523" s="484"/>
      <c r="B523" s="186"/>
      <c r="C523" s="186"/>
    </row>
    <row r="524" spans="1:3" s="110" customFormat="1" ht="12.75">
      <c r="A524" s="484"/>
      <c r="B524" s="186"/>
      <c r="C524" s="186"/>
    </row>
    <row r="525" spans="1:3" s="110" customFormat="1" ht="12.75">
      <c r="A525" s="484"/>
      <c r="B525" s="186"/>
      <c r="C525" s="186"/>
    </row>
    <row r="526" spans="1:3" s="110" customFormat="1" ht="12.75">
      <c r="A526" s="484"/>
      <c r="B526" s="186"/>
      <c r="C526" s="186"/>
    </row>
    <row r="527" spans="1:3" s="110" customFormat="1" ht="12.75">
      <c r="A527" s="484"/>
      <c r="B527" s="186"/>
      <c r="C527" s="186"/>
    </row>
    <row r="528" spans="1:3" s="110" customFormat="1" ht="12.75">
      <c r="A528" s="484"/>
      <c r="B528" s="186"/>
      <c r="C528" s="186"/>
    </row>
    <row r="529" spans="1:3" s="110" customFormat="1" ht="12.75">
      <c r="A529" s="484"/>
      <c r="B529" s="186"/>
      <c r="C529" s="186"/>
    </row>
    <row r="530" spans="1:3" s="110" customFormat="1" ht="12.75">
      <c r="A530" s="484"/>
      <c r="B530" s="186"/>
      <c r="C530" s="186"/>
    </row>
    <row r="531" spans="1:3" s="110" customFormat="1" ht="12.75">
      <c r="A531" s="484"/>
      <c r="B531" s="186"/>
      <c r="C531" s="186"/>
    </row>
    <row r="532" spans="1:3" s="110" customFormat="1" ht="12.75">
      <c r="A532" s="484"/>
      <c r="B532" s="186"/>
      <c r="C532" s="186"/>
    </row>
    <row r="533" spans="1:3" s="110" customFormat="1" ht="12.75">
      <c r="A533" s="484"/>
      <c r="B533" s="186"/>
      <c r="C533" s="186"/>
    </row>
    <row r="534" spans="1:3" s="110" customFormat="1" ht="12.75">
      <c r="A534" s="484"/>
      <c r="B534" s="186"/>
      <c r="C534" s="186"/>
    </row>
    <row r="535" spans="1:3" s="110" customFormat="1" ht="12.75">
      <c r="A535" s="484"/>
      <c r="B535" s="186"/>
      <c r="C535" s="186"/>
    </row>
    <row r="536" spans="1:3" s="110" customFormat="1" ht="12.75">
      <c r="A536" s="484"/>
      <c r="B536" s="186"/>
      <c r="C536" s="186"/>
    </row>
    <row r="537" spans="1:3" s="110" customFormat="1" ht="12.75">
      <c r="A537" s="484"/>
      <c r="B537" s="186"/>
      <c r="C537" s="186"/>
    </row>
    <row r="538" spans="1:3" s="110" customFormat="1" ht="12.75">
      <c r="A538" s="484"/>
      <c r="B538" s="186"/>
      <c r="C538" s="186"/>
    </row>
    <row r="539" spans="1:3" s="110" customFormat="1" ht="12.75">
      <c r="A539" s="484"/>
      <c r="B539" s="186"/>
      <c r="C539" s="186"/>
    </row>
    <row r="540" spans="1:3" s="110" customFormat="1" ht="12.75">
      <c r="A540" s="484"/>
      <c r="B540" s="186"/>
      <c r="C540" s="186"/>
    </row>
    <row r="541" spans="1:3" s="110" customFormat="1" ht="12.75">
      <c r="A541" s="484"/>
      <c r="B541" s="186"/>
      <c r="C541" s="186"/>
    </row>
    <row r="542" spans="1:3" s="110" customFormat="1" ht="12.75">
      <c r="A542" s="484"/>
      <c r="B542" s="186"/>
      <c r="C542" s="186"/>
    </row>
    <row r="543" spans="1:3" s="110" customFormat="1" ht="12.75">
      <c r="A543" s="484"/>
      <c r="B543" s="186"/>
      <c r="C543" s="186"/>
    </row>
    <row r="544" spans="1:3" s="110" customFormat="1" ht="12.75">
      <c r="A544" s="484"/>
      <c r="B544" s="186"/>
      <c r="C544" s="186"/>
    </row>
    <row r="545" spans="1:3" s="110" customFormat="1" ht="12.75">
      <c r="A545" s="484"/>
      <c r="B545" s="186"/>
      <c r="C545" s="186"/>
    </row>
    <row r="546" spans="1:3" s="110" customFormat="1" ht="12.75">
      <c r="A546" s="484"/>
      <c r="B546" s="186"/>
      <c r="C546" s="186"/>
    </row>
    <row r="547" spans="1:3" s="110" customFormat="1" ht="12.75">
      <c r="A547" s="484"/>
      <c r="B547" s="186"/>
      <c r="C547" s="186"/>
    </row>
    <row r="548" spans="1:3" s="110" customFormat="1" ht="12.75">
      <c r="A548" s="484"/>
      <c r="B548" s="186"/>
      <c r="C548" s="186"/>
    </row>
    <row r="549" spans="1:3" s="110" customFormat="1" ht="12.75">
      <c r="A549" s="484"/>
      <c r="B549" s="186"/>
      <c r="C549" s="186"/>
    </row>
    <row r="550" spans="1:3" s="110" customFormat="1" ht="12.75">
      <c r="A550" s="484"/>
      <c r="B550" s="186"/>
      <c r="C550" s="186"/>
    </row>
    <row r="551" spans="1:3" s="110" customFormat="1" ht="12.75">
      <c r="A551" s="484"/>
      <c r="B551" s="186"/>
      <c r="C551" s="186"/>
    </row>
    <row r="552" spans="1:3" s="110" customFormat="1" ht="12.75">
      <c r="A552" s="484"/>
      <c r="B552" s="186"/>
      <c r="C552" s="186"/>
    </row>
    <row r="553" spans="1:3" s="110" customFormat="1" ht="12.75">
      <c r="A553" s="484"/>
      <c r="B553" s="186"/>
      <c r="C553" s="186"/>
    </row>
    <row r="554" spans="1:3" s="110" customFormat="1" ht="12.75">
      <c r="A554" s="484"/>
      <c r="B554" s="186"/>
      <c r="C554" s="186"/>
    </row>
    <row r="555" spans="1:3" s="110" customFormat="1" ht="12.75">
      <c r="A555" s="484"/>
      <c r="B555" s="186"/>
      <c r="C555" s="186"/>
    </row>
    <row r="556" spans="1:3" s="110" customFormat="1" ht="12.75">
      <c r="A556" s="484"/>
      <c r="B556" s="186"/>
      <c r="C556" s="186"/>
    </row>
    <row r="557" spans="1:3" s="110" customFormat="1" ht="12.75">
      <c r="A557" s="484"/>
      <c r="B557" s="186"/>
      <c r="C557" s="186"/>
    </row>
    <row r="558" spans="1:3" s="110" customFormat="1" ht="12.75">
      <c r="A558" s="484"/>
      <c r="B558" s="186"/>
      <c r="C558" s="186"/>
    </row>
    <row r="559" spans="1:3" s="110" customFormat="1" ht="12.75">
      <c r="A559" s="484"/>
      <c r="B559" s="186"/>
      <c r="C559" s="186"/>
    </row>
    <row r="560" spans="1:3" s="110" customFormat="1" ht="12.75">
      <c r="A560" s="484"/>
      <c r="B560" s="186"/>
      <c r="C560" s="186"/>
    </row>
    <row r="561" spans="1:3" s="110" customFormat="1" ht="12.75">
      <c r="A561" s="484"/>
      <c r="B561" s="186"/>
      <c r="C561" s="186"/>
    </row>
    <row r="562" spans="1:3" s="110" customFormat="1" ht="12.75">
      <c r="A562" s="484"/>
      <c r="B562" s="186"/>
      <c r="C562" s="186"/>
    </row>
    <row r="563" spans="1:3" s="110" customFormat="1" ht="12.75">
      <c r="A563" s="484"/>
      <c r="B563" s="186"/>
      <c r="C563" s="186"/>
    </row>
    <row r="564" spans="1:3" s="110" customFormat="1" ht="12.75">
      <c r="A564" s="484"/>
      <c r="B564" s="186"/>
      <c r="C564" s="186"/>
    </row>
    <row r="565" spans="1:3" s="110" customFormat="1" ht="12.75">
      <c r="A565" s="484"/>
      <c r="B565" s="186"/>
      <c r="C565" s="186"/>
    </row>
    <row r="566" spans="1:3" s="110" customFormat="1" ht="12.75">
      <c r="A566" s="484"/>
      <c r="B566" s="186"/>
      <c r="C566" s="186"/>
    </row>
    <row r="567" spans="1:3" s="110" customFormat="1" ht="12.75">
      <c r="A567" s="484"/>
      <c r="B567" s="186"/>
      <c r="C567" s="186"/>
    </row>
    <row r="568" spans="1:3" s="110" customFormat="1" ht="12.75">
      <c r="A568" s="484"/>
      <c r="B568" s="186"/>
      <c r="C568" s="186"/>
    </row>
    <row r="569" spans="1:3" s="110" customFormat="1" ht="12.75">
      <c r="A569" s="484"/>
      <c r="B569" s="186"/>
      <c r="C569" s="186"/>
    </row>
    <row r="570" spans="1:3" s="110" customFormat="1" ht="12.75">
      <c r="A570" s="484"/>
      <c r="B570" s="186"/>
      <c r="C570" s="186"/>
    </row>
    <row r="571" spans="1:3" s="110" customFormat="1" ht="12.75">
      <c r="A571" s="484"/>
      <c r="B571" s="186"/>
      <c r="C571" s="186"/>
    </row>
    <row r="572" spans="1:3" s="110" customFormat="1" ht="12.75">
      <c r="A572" s="484"/>
      <c r="B572" s="186"/>
      <c r="C572" s="186"/>
    </row>
    <row r="573" spans="1:3" s="110" customFormat="1" ht="12.75">
      <c r="A573" s="484"/>
      <c r="B573" s="186"/>
      <c r="C573" s="186"/>
    </row>
    <row r="574" spans="1:3" s="110" customFormat="1" ht="12.75">
      <c r="A574" s="484"/>
      <c r="B574" s="186"/>
      <c r="C574" s="186"/>
    </row>
    <row r="575" spans="1:3" s="110" customFormat="1" ht="12.75">
      <c r="A575" s="484"/>
      <c r="B575" s="186"/>
      <c r="C575" s="186"/>
    </row>
    <row r="576" spans="1:3" s="110" customFormat="1" ht="12.75">
      <c r="A576" s="484"/>
      <c r="B576" s="186"/>
      <c r="C576" s="186"/>
    </row>
    <row r="577" spans="1:3" s="110" customFormat="1" ht="12.75">
      <c r="A577" s="484"/>
      <c r="B577" s="186"/>
      <c r="C577" s="186"/>
    </row>
    <row r="578" spans="1:3" s="110" customFormat="1" ht="12.75">
      <c r="A578" s="484"/>
      <c r="B578" s="186"/>
      <c r="C578" s="186"/>
    </row>
    <row r="579" spans="1:3" s="110" customFormat="1" ht="12.75">
      <c r="A579" s="484"/>
      <c r="B579" s="186"/>
      <c r="C579" s="186"/>
    </row>
    <row r="580" spans="1:3" s="110" customFormat="1" ht="12.75">
      <c r="A580" s="484"/>
      <c r="B580" s="186"/>
      <c r="C580" s="186"/>
    </row>
    <row r="581" spans="1:3" s="110" customFormat="1" ht="12.75">
      <c r="A581" s="484"/>
      <c r="B581" s="186"/>
      <c r="C581" s="186"/>
    </row>
    <row r="582" spans="1:3" s="110" customFormat="1" ht="12.75">
      <c r="A582" s="484"/>
      <c r="B582" s="186"/>
      <c r="C582" s="186"/>
    </row>
    <row r="583" spans="1:3" s="110" customFormat="1" ht="12.75">
      <c r="A583" s="484"/>
      <c r="B583" s="186"/>
      <c r="C583" s="186"/>
    </row>
    <row r="584" spans="1:3" s="110" customFormat="1" ht="12.75">
      <c r="A584" s="484"/>
      <c r="B584" s="186"/>
      <c r="C584" s="186"/>
    </row>
    <row r="585" spans="1:3" s="110" customFormat="1" ht="12.75">
      <c r="A585" s="484"/>
      <c r="B585" s="186"/>
      <c r="C585" s="186"/>
    </row>
    <row r="586" spans="1:3" s="110" customFormat="1" ht="12.75">
      <c r="A586" s="484"/>
      <c r="B586" s="186"/>
      <c r="C586" s="186"/>
    </row>
    <row r="587" spans="1:3" s="110" customFormat="1" ht="12.75">
      <c r="A587" s="484"/>
      <c r="B587" s="186"/>
      <c r="C587" s="186"/>
    </row>
    <row r="588" spans="1:3" s="110" customFormat="1" ht="12.75">
      <c r="A588" s="484"/>
      <c r="B588" s="186"/>
      <c r="C588" s="186"/>
    </row>
    <row r="589" spans="1:3" s="110" customFormat="1" ht="12.75">
      <c r="A589" s="484"/>
      <c r="B589" s="186"/>
      <c r="C589" s="186"/>
    </row>
    <row r="590" spans="1:3" s="110" customFormat="1" ht="12.75">
      <c r="A590" s="484"/>
      <c r="B590" s="186"/>
      <c r="C590" s="186"/>
    </row>
    <row r="591" spans="1:3" s="110" customFormat="1" ht="12.75">
      <c r="A591" s="484"/>
      <c r="B591" s="186"/>
      <c r="C591" s="186"/>
    </row>
    <row r="592" spans="1:3" s="110" customFormat="1" ht="12.75">
      <c r="A592" s="484"/>
      <c r="B592" s="186"/>
      <c r="C592" s="186"/>
    </row>
    <row r="593" spans="1:3" s="110" customFormat="1" ht="12.75">
      <c r="A593" s="484"/>
      <c r="B593" s="186"/>
      <c r="C593" s="186"/>
    </row>
    <row r="594" spans="1:3" s="110" customFormat="1" ht="12.75">
      <c r="A594" s="484"/>
      <c r="B594" s="186"/>
      <c r="C594" s="186"/>
    </row>
    <row r="595" spans="1:3" s="110" customFormat="1" ht="12.75">
      <c r="A595" s="484"/>
      <c r="B595" s="186"/>
      <c r="C595" s="186"/>
    </row>
    <row r="596" spans="1:3" s="110" customFormat="1" ht="12.75">
      <c r="A596" s="484"/>
      <c r="B596" s="186"/>
      <c r="C596" s="186"/>
    </row>
    <row r="597" spans="1:3" s="110" customFormat="1" ht="12.75">
      <c r="A597" s="484"/>
      <c r="B597" s="186"/>
      <c r="C597" s="186"/>
    </row>
    <row r="598" spans="1:3" s="110" customFormat="1" ht="12.75">
      <c r="A598" s="484"/>
      <c r="B598" s="186"/>
      <c r="C598" s="186"/>
    </row>
    <row r="599" spans="1:3" s="110" customFormat="1" ht="12.75">
      <c r="A599" s="484"/>
      <c r="B599" s="186"/>
      <c r="C599" s="186"/>
    </row>
    <row r="600" spans="1:3" s="110" customFormat="1" ht="12.75">
      <c r="A600" s="484"/>
      <c r="B600" s="186"/>
      <c r="C600" s="186"/>
    </row>
    <row r="601" spans="1:3" s="110" customFormat="1" ht="12.75">
      <c r="A601" s="484"/>
      <c r="B601" s="186"/>
      <c r="C601" s="186"/>
    </row>
    <row r="602" spans="1:3" s="110" customFormat="1" ht="12.75">
      <c r="A602" s="484"/>
      <c r="B602" s="186"/>
      <c r="C602" s="186"/>
    </row>
    <row r="603" spans="1:3" s="110" customFormat="1" ht="12.75">
      <c r="A603" s="484"/>
      <c r="B603" s="186"/>
      <c r="C603" s="186"/>
    </row>
    <row r="604" spans="1:3" s="110" customFormat="1" ht="12.75">
      <c r="A604" s="484"/>
      <c r="B604" s="186"/>
      <c r="C604" s="186"/>
    </row>
    <row r="605" spans="1:3" s="110" customFormat="1" ht="12.75">
      <c r="A605" s="484"/>
      <c r="B605" s="186"/>
      <c r="C605" s="186"/>
    </row>
    <row r="606" spans="1:3" s="110" customFormat="1" ht="12.75">
      <c r="A606" s="484"/>
      <c r="B606" s="186"/>
      <c r="C606" s="186"/>
    </row>
    <row r="607" spans="1:3" s="110" customFormat="1" ht="12.75">
      <c r="A607" s="484"/>
      <c r="B607" s="186"/>
      <c r="C607" s="186"/>
    </row>
    <row r="608" spans="1:3" s="110" customFormat="1" ht="12.75">
      <c r="A608" s="484"/>
      <c r="B608" s="186"/>
      <c r="C608" s="186"/>
    </row>
    <row r="609" spans="1:3" s="110" customFormat="1" ht="12.75">
      <c r="A609" s="484"/>
      <c r="B609" s="186"/>
      <c r="C609" s="186"/>
    </row>
    <row r="610" spans="1:3" s="110" customFormat="1" ht="12.75">
      <c r="A610" s="484"/>
      <c r="B610" s="186"/>
      <c r="C610" s="186"/>
    </row>
    <row r="611" spans="1:3" s="110" customFormat="1" ht="12.75">
      <c r="A611" s="484"/>
      <c r="B611" s="186"/>
      <c r="C611" s="186"/>
    </row>
    <row r="612" spans="1:3" s="110" customFormat="1" ht="12.75">
      <c r="A612" s="484"/>
      <c r="B612" s="186"/>
      <c r="C612" s="186"/>
    </row>
    <row r="613" spans="1:3" s="110" customFormat="1" ht="12.75">
      <c r="A613" s="484"/>
      <c r="B613" s="186"/>
      <c r="C613" s="186"/>
    </row>
    <row r="614" spans="1:3" s="110" customFormat="1" ht="12.75">
      <c r="A614" s="484"/>
      <c r="B614" s="186"/>
      <c r="C614" s="186"/>
    </row>
    <row r="615" spans="1:3" s="110" customFormat="1" ht="12.75">
      <c r="A615" s="484"/>
      <c r="B615" s="186"/>
      <c r="C615" s="186"/>
    </row>
    <row r="616" spans="1:3" s="110" customFormat="1" ht="12.75">
      <c r="A616" s="484"/>
      <c r="B616" s="186"/>
      <c r="C616" s="186"/>
    </row>
    <row r="617" spans="1:3" s="110" customFormat="1" ht="12.75">
      <c r="A617" s="484"/>
      <c r="B617" s="186"/>
      <c r="C617" s="186"/>
    </row>
    <row r="618" spans="1:3" s="110" customFormat="1" ht="12.75">
      <c r="A618" s="484"/>
      <c r="B618" s="186"/>
      <c r="C618" s="186"/>
    </row>
    <row r="619" spans="1:3" s="110" customFormat="1" ht="12.75">
      <c r="A619" s="484"/>
      <c r="B619" s="186"/>
      <c r="C619" s="186"/>
    </row>
    <row r="620" spans="1:3" s="110" customFormat="1" ht="12.75">
      <c r="A620" s="484"/>
      <c r="B620" s="186"/>
      <c r="C620" s="186"/>
    </row>
    <row r="621" spans="1:3" s="110" customFormat="1" ht="12.75">
      <c r="A621" s="484"/>
      <c r="B621" s="186"/>
      <c r="C621" s="186"/>
    </row>
    <row r="622" spans="1:3" s="110" customFormat="1" ht="12.75">
      <c r="A622" s="484"/>
      <c r="B622" s="186"/>
      <c r="C622" s="186"/>
    </row>
    <row r="623" spans="1:3" s="110" customFormat="1" ht="12.75">
      <c r="A623" s="484"/>
      <c r="B623" s="186"/>
      <c r="C623" s="186"/>
    </row>
    <row r="624" spans="1:3" s="110" customFormat="1" ht="12.75">
      <c r="A624" s="484"/>
      <c r="B624" s="186"/>
      <c r="C624" s="186"/>
    </row>
    <row r="625" spans="1:3" s="110" customFormat="1" ht="12.75">
      <c r="A625" s="484"/>
      <c r="B625" s="186"/>
      <c r="C625" s="186"/>
    </row>
    <row r="626" spans="1:3" s="110" customFormat="1" ht="12.75">
      <c r="A626" s="484"/>
      <c r="B626" s="186"/>
      <c r="C626" s="186"/>
    </row>
    <row r="627" spans="1:3" s="110" customFormat="1" ht="12.75">
      <c r="A627" s="484"/>
      <c r="B627" s="186"/>
      <c r="C627" s="186"/>
    </row>
    <row r="628" spans="1:3" s="110" customFormat="1" ht="12.75">
      <c r="A628" s="484"/>
      <c r="B628" s="186"/>
      <c r="C628" s="186"/>
    </row>
    <row r="629" spans="1:3" s="110" customFormat="1" ht="12.75">
      <c r="A629" s="484"/>
      <c r="B629" s="186"/>
      <c r="C629" s="186"/>
    </row>
    <row r="630" spans="1:3" s="110" customFormat="1" ht="12.75">
      <c r="A630" s="484"/>
      <c r="B630" s="186"/>
      <c r="C630" s="186"/>
    </row>
    <row r="631" spans="1:3" s="110" customFormat="1" ht="12.75">
      <c r="A631" s="484"/>
      <c r="B631" s="186"/>
      <c r="C631" s="186"/>
    </row>
    <row r="632" spans="1:3" s="110" customFormat="1" ht="12.75">
      <c r="A632" s="484"/>
      <c r="B632" s="186"/>
      <c r="C632" s="186"/>
    </row>
    <row r="633" spans="1:3" s="110" customFormat="1" ht="12.75">
      <c r="A633" s="484"/>
      <c r="B633" s="186"/>
      <c r="C633" s="186"/>
    </row>
    <row r="634" spans="1:3" s="110" customFormat="1" ht="12.75">
      <c r="A634" s="484"/>
      <c r="B634" s="186"/>
      <c r="C634" s="186"/>
    </row>
    <row r="635" spans="1:3" s="110" customFormat="1" ht="12.75">
      <c r="A635" s="484"/>
      <c r="B635" s="186"/>
      <c r="C635" s="186"/>
    </row>
    <row r="636" spans="1:3" s="110" customFormat="1" ht="12.75">
      <c r="A636" s="484"/>
      <c r="B636" s="186"/>
      <c r="C636" s="186"/>
    </row>
    <row r="637" spans="1:3" s="110" customFormat="1" ht="12.75">
      <c r="A637" s="484"/>
      <c r="B637" s="186"/>
      <c r="C637" s="186"/>
    </row>
    <row r="638" spans="1:3" s="110" customFormat="1" ht="12.75">
      <c r="A638" s="484"/>
      <c r="B638" s="186"/>
      <c r="C638" s="186"/>
    </row>
    <row r="639" spans="1:3" s="110" customFormat="1" ht="12.75">
      <c r="A639" s="484"/>
      <c r="B639" s="186"/>
      <c r="C639" s="186"/>
    </row>
    <row r="640" spans="1:3" s="110" customFormat="1" ht="12.75">
      <c r="A640" s="484"/>
      <c r="B640" s="186"/>
      <c r="C640" s="186"/>
    </row>
    <row r="641" spans="1:3" s="110" customFormat="1" ht="12.75">
      <c r="A641" s="484"/>
      <c r="B641" s="186"/>
      <c r="C641" s="186"/>
    </row>
    <row r="642" spans="1:3" s="110" customFormat="1" ht="12.75">
      <c r="A642" s="484"/>
      <c r="B642" s="186"/>
      <c r="C642" s="186"/>
    </row>
    <row r="643" spans="1:3" s="110" customFormat="1" ht="12.75">
      <c r="A643" s="484"/>
      <c r="B643" s="186"/>
      <c r="C643" s="186"/>
    </row>
    <row r="644" spans="1:3" s="110" customFormat="1" ht="12.75">
      <c r="A644" s="484"/>
      <c r="B644" s="186"/>
      <c r="C644" s="186"/>
    </row>
    <row r="645" spans="1:3" s="110" customFormat="1" ht="12.75">
      <c r="A645" s="484"/>
      <c r="B645" s="186"/>
      <c r="C645" s="186"/>
    </row>
    <row r="646" spans="1:3" s="110" customFormat="1" ht="12.75">
      <c r="A646" s="484"/>
      <c r="B646" s="186"/>
      <c r="C646" s="186"/>
    </row>
    <row r="647" spans="1:3" s="110" customFormat="1" ht="12.75">
      <c r="A647" s="484"/>
      <c r="B647" s="186"/>
      <c r="C647" s="186"/>
    </row>
    <row r="648" spans="1:3" s="110" customFormat="1" ht="12.75">
      <c r="A648" s="484"/>
      <c r="B648" s="186"/>
      <c r="C648" s="186"/>
    </row>
    <row r="649" spans="1:3" s="110" customFormat="1" ht="12.75">
      <c r="A649" s="484"/>
      <c r="B649" s="186"/>
      <c r="C649" s="186"/>
    </row>
    <row r="650" spans="1:3" s="110" customFormat="1" ht="12.75">
      <c r="A650" s="484"/>
      <c r="B650" s="186"/>
      <c r="C650" s="186"/>
    </row>
    <row r="651" spans="1:3" s="110" customFormat="1" ht="12.75">
      <c r="A651" s="484"/>
      <c r="B651" s="186"/>
      <c r="C651" s="186"/>
    </row>
    <row r="652" spans="1:3" s="110" customFormat="1" ht="12.75">
      <c r="A652" s="484"/>
      <c r="B652" s="186"/>
      <c r="C652" s="186"/>
    </row>
    <row r="653" spans="1:3" s="110" customFormat="1" ht="12.75">
      <c r="A653" s="484"/>
      <c r="B653" s="186"/>
      <c r="C653" s="186"/>
    </row>
    <row r="654" spans="1:3" s="110" customFormat="1" ht="12.75">
      <c r="A654" s="484"/>
      <c r="B654" s="186"/>
      <c r="C654" s="186"/>
    </row>
    <row r="655" spans="1:3" s="110" customFormat="1" ht="12.75">
      <c r="A655" s="484"/>
      <c r="B655" s="186"/>
      <c r="C655" s="186"/>
    </row>
    <row r="656" spans="1:3" s="110" customFormat="1" ht="12.75">
      <c r="A656" s="484"/>
      <c r="B656" s="186"/>
      <c r="C656" s="186"/>
    </row>
    <row r="657" spans="1:3" s="110" customFormat="1" ht="12.75">
      <c r="A657" s="484"/>
      <c r="B657" s="186"/>
      <c r="C657" s="186"/>
    </row>
    <row r="658" spans="1:3" s="110" customFormat="1" ht="12.75">
      <c r="A658" s="484"/>
      <c r="B658" s="186"/>
      <c r="C658" s="186"/>
    </row>
    <row r="659" spans="1:3" s="110" customFormat="1" ht="12.75">
      <c r="A659" s="484"/>
      <c r="B659" s="186"/>
      <c r="C659" s="186"/>
    </row>
    <row r="660" spans="1:3" s="110" customFormat="1" ht="12.75">
      <c r="A660" s="484"/>
      <c r="B660" s="186"/>
      <c r="C660" s="186"/>
    </row>
    <row r="661" spans="1:3" s="110" customFormat="1" ht="12.75">
      <c r="A661" s="484"/>
      <c r="B661" s="186"/>
      <c r="C661" s="186"/>
    </row>
    <row r="662" spans="1:3" s="110" customFormat="1" ht="12.75">
      <c r="A662" s="484"/>
      <c r="B662" s="186"/>
      <c r="C662" s="186"/>
    </row>
    <row r="663" spans="1:3" s="110" customFormat="1" ht="12.75">
      <c r="A663" s="484"/>
      <c r="B663" s="186"/>
      <c r="C663" s="186"/>
    </row>
    <row r="664" spans="1:3" s="110" customFormat="1" ht="12.75">
      <c r="A664" s="484"/>
      <c r="B664" s="186"/>
      <c r="C664" s="186"/>
    </row>
    <row r="665" spans="1:3" s="110" customFormat="1" ht="12.75">
      <c r="A665" s="484"/>
      <c r="B665" s="186"/>
      <c r="C665" s="186"/>
    </row>
    <row r="666" spans="1:3" s="110" customFormat="1" ht="12.75">
      <c r="A666" s="484"/>
      <c r="B666" s="186"/>
      <c r="C666" s="186"/>
    </row>
    <row r="667" spans="1:3" s="110" customFormat="1" ht="12.75">
      <c r="A667" s="484"/>
      <c r="B667" s="186"/>
      <c r="C667" s="186"/>
    </row>
    <row r="668" spans="1:3" s="110" customFormat="1" ht="12.75">
      <c r="A668" s="484"/>
      <c r="B668" s="186"/>
      <c r="C668" s="186"/>
    </row>
    <row r="669" spans="1:3" s="110" customFormat="1" ht="12.75">
      <c r="A669" s="484"/>
      <c r="B669" s="186"/>
      <c r="C669" s="186"/>
    </row>
    <row r="670" spans="1:3" s="110" customFormat="1" ht="12.75">
      <c r="A670" s="484"/>
      <c r="B670" s="186"/>
      <c r="C670" s="186"/>
    </row>
    <row r="671" spans="1:3" s="110" customFormat="1" ht="12.75">
      <c r="A671" s="484"/>
      <c r="B671" s="186"/>
      <c r="C671" s="186"/>
    </row>
    <row r="672" spans="1:3" s="110" customFormat="1" ht="12.75">
      <c r="A672" s="484"/>
      <c r="B672" s="186"/>
      <c r="C672" s="186"/>
    </row>
    <row r="673" spans="1:3" s="110" customFormat="1" ht="12.75">
      <c r="A673" s="484"/>
      <c r="B673" s="186"/>
      <c r="C673" s="186"/>
    </row>
    <row r="674" spans="1:3" s="110" customFormat="1" ht="12.75">
      <c r="A674" s="484"/>
      <c r="B674" s="186"/>
      <c r="C674" s="186"/>
    </row>
    <row r="675" spans="1:3" s="110" customFormat="1" ht="12.75">
      <c r="A675" s="484"/>
      <c r="B675" s="186"/>
      <c r="C675" s="186"/>
    </row>
    <row r="676" spans="1:3" s="110" customFormat="1" ht="12.75">
      <c r="A676" s="484"/>
      <c r="B676" s="186"/>
      <c r="C676" s="186"/>
    </row>
    <row r="677" spans="1:3" s="110" customFormat="1" ht="12.75">
      <c r="A677" s="484"/>
      <c r="B677" s="186"/>
      <c r="C677" s="186"/>
    </row>
    <row r="678" spans="1:3" s="110" customFormat="1" ht="12.75">
      <c r="A678" s="484"/>
      <c r="B678" s="186"/>
      <c r="C678" s="186"/>
    </row>
    <row r="679" spans="1:3" s="110" customFormat="1" ht="12.75">
      <c r="A679" s="484"/>
      <c r="B679" s="186"/>
      <c r="C679" s="186"/>
    </row>
    <row r="680" spans="1:3" s="110" customFormat="1" ht="12.75">
      <c r="A680" s="484"/>
      <c r="B680" s="186"/>
      <c r="C680" s="186"/>
    </row>
    <row r="681" spans="1:3" s="110" customFormat="1" ht="12.75">
      <c r="A681" s="484"/>
      <c r="B681" s="186"/>
      <c r="C681" s="186"/>
    </row>
    <row r="682" spans="1:3" s="110" customFormat="1" ht="12.75">
      <c r="A682" s="484"/>
      <c r="B682" s="186"/>
      <c r="C682" s="186"/>
    </row>
    <row r="683" spans="1:3" s="110" customFormat="1" ht="12.75">
      <c r="A683" s="484"/>
      <c r="B683" s="186"/>
      <c r="C683" s="186"/>
    </row>
    <row r="684" spans="1:3" s="110" customFormat="1" ht="12.75">
      <c r="A684" s="484"/>
      <c r="B684" s="186"/>
      <c r="C684" s="186"/>
    </row>
    <row r="685" spans="1:3" s="110" customFormat="1" ht="12.75">
      <c r="A685" s="484"/>
      <c r="B685" s="186"/>
      <c r="C685" s="186"/>
    </row>
    <row r="686" spans="1:3" s="110" customFormat="1" ht="12.75">
      <c r="A686" s="484"/>
      <c r="B686" s="186"/>
      <c r="C686" s="186"/>
    </row>
    <row r="687" spans="1:3" s="110" customFormat="1" ht="12.75">
      <c r="A687" s="484"/>
      <c r="B687" s="186"/>
      <c r="C687" s="186"/>
    </row>
    <row r="688" spans="1:3" s="110" customFormat="1" ht="12.75">
      <c r="A688" s="484"/>
      <c r="B688" s="186"/>
      <c r="C688" s="186"/>
    </row>
    <row r="689" spans="1:3" s="110" customFormat="1" ht="12.75">
      <c r="A689" s="484"/>
      <c r="B689" s="186"/>
      <c r="C689" s="186"/>
    </row>
    <row r="690" spans="1:3" s="110" customFormat="1" ht="12.75">
      <c r="A690" s="484"/>
      <c r="B690" s="186"/>
      <c r="C690" s="186"/>
    </row>
    <row r="691" spans="1:3" s="110" customFormat="1" ht="12.75">
      <c r="A691" s="484"/>
      <c r="B691" s="186"/>
      <c r="C691" s="186"/>
    </row>
    <row r="692" spans="1:3" s="110" customFormat="1" ht="12.75">
      <c r="A692" s="484"/>
      <c r="B692" s="186"/>
      <c r="C692" s="186"/>
    </row>
    <row r="693" spans="1:3" s="110" customFormat="1" ht="12.75">
      <c r="A693" s="484"/>
      <c r="B693" s="186"/>
      <c r="C693" s="186"/>
    </row>
    <row r="694" spans="1:3" s="110" customFormat="1" ht="12.75">
      <c r="A694" s="484"/>
      <c r="B694" s="186"/>
      <c r="C694" s="186"/>
    </row>
    <row r="695" spans="1:3" s="110" customFormat="1" ht="12.75">
      <c r="A695" s="484"/>
      <c r="B695" s="186"/>
      <c r="C695" s="186"/>
    </row>
    <row r="696" spans="1:3" s="110" customFormat="1" ht="12.75">
      <c r="A696" s="484"/>
      <c r="B696" s="186"/>
      <c r="C696" s="186"/>
    </row>
    <row r="697" spans="1:3" s="110" customFormat="1" ht="12.75">
      <c r="A697" s="484"/>
      <c r="B697" s="186"/>
      <c r="C697" s="186"/>
    </row>
    <row r="698" spans="1:3" s="110" customFormat="1" ht="12.75">
      <c r="A698" s="484"/>
      <c r="B698" s="186"/>
      <c r="C698" s="186"/>
    </row>
    <row r="699" spans="1:3" s="110" customFormat="1" ht="12.75">
      <c r="A699" s="484"/>
      <c r="B699" s="186"/>
      <c r="C699" s="186"/>
    </row>
    <row r="700" spans="1:3" s="110" customFormat="1" ht="12.75">
      <c r="A700" s="484"/>
      <c r="B700" s="186"/>
      <c r="C700" s="186"/>
    </row>
    <row r="701" spans="1:3" s="110" customFormat="1" ht="12.75">
      <c r="A701" s="484"/>
      <c r="B701" s="186"/>
      <c r="C701" s="186"/>
    </row>
    <row r="702" spans="1:3" s="110" customFormat="1" ht="12.75">
      <c r="A702" s="484"/>
      <c r="B702" s="186"/>
      <c r="C702" s="186"/>
    </row>
    <row r="703" spans="1:3" s="110" customFormat="1" ht="12.75">
      <c r="A703" s="484"/>
      <c r="B703" s="186"/>
      <c r="C703" s="186"/>
    </row>
    <row r="704" spans="1:3" s="110" customFormat="1" ht="12.75">
      <c r="A704" s="484"/>
      <c r="B704" s="186"/>
      <c r="C704" s="186"/>
    </row>
    <row r="705" spans="1:3" s="110" customFormat="1" ht="12.75">
      <c r="A705" s="484"/>
      <c r="B705" s="186"/>
      <c r="C705" s="186"/>
    </row>
    <row r="706" spans="1:3" s="110" customFormat="1" ht="12.75">
      <c r="A706" s="484"/>
      <c r="B706" s="186"/>
      <c r="C706" s="186"/>
    </row>
    <row r="707" spans="1:3" s="110" customFormat="1" ht="12.75">
      <c r="A707" s="484"/>
      <c r="B707" s="186"/>
      <c r="C707" s="186"/>
    </row>
    <row r="708" spans="1:3" s="110" customFormat="1" ht="12.75">
      <c r="A708" s="484"/>
      <c r="B708" s="186"/>
      <c r="C708" s="186"/>
    </row>
    <row r="709" spans="1:3" s="110" customFormat="1" ht="12.75">
      <c r="A709" s="484"/>
      <c r="B709" s="186"/>
      <c r="C709" s="186"/>
    </row>
    <row r="710" spans="1:3" s="110" customFormat="1" ht="12.75">
      <c r="A710" s="484"/>
      <c r="B710" s="186"/>
      <c r="C710" s="186"/>
    </row>
    <row r="711" spans="1:3" s="110" customFormat="1" ht="12.75">
      <c r="A711" s="484"/>
      <c r="B711" s="186"/>
      <c r="C711" s="186"/>
    </row>
    <row r="712" spans="1:3" s="110" customFormat="1" ht="12.75">
      <c r="A712" s="484"/>
      <c r="B712" s="186"/>
      <c r="C712" s="186"/>
    </row>
    <row r="713" spans="1:3" s="110" customFormat="1" ht="12.75">
      <c r="A713" s="484"/>
      <c r="B713" s="186"/>
      <c r="C713" s="186"/>
    </row>
    <row r="714" spans="1:3" s="110" customFormat="1" ht="12.75">
      <c r="A714" s="484"/>
      <c r="B714" s="186"/>
      <c r="C714" s="186"/>
    </row>
    <row r="715" spans="1:3" s="110" customFormat="1" ht="12.75">
      <c r="A715" s="484"/>
      <c r="B715" s="186"/>
      <c r="C715" s="186"/>
    </row>
    <row r="716" spans="1:3" s="110" customFormat="1" ht="12.75">
      <c r="A716" s="484"/>
      <c r="B716" s="186"/>
      <c r="C716" s="186"/>
    </row>
    <row r="717" spans="1:3" s="110" customFormat="1" ht="12.75">
      <c r="A717" s="484"/>
      <c r="B717" s="186"/>
      <c r="C717" s="186"/>
    </row>
    <row r="718" spans="1:3" s="110" customFormat="1" ht="12.75">
      <c r="A718" s="484"/>
      <c r="B718" s="186"/>
      <c r="C718" s="186"/>
    </row>
    <row r="719" spans="1:3" s="110" customFormat="1" ht="12.75">
      <c r="A719" s="484"/>
      <c r="B719" s="186"/>
      <c r="C719" s="186"/>
    </row>
    <row r="720" spans="1:3" s="110" customFormat="1" ht="12.75">
      <c r="A720" s="484"/>
      <c r="B720" s="186"/>
      <c r="C720" s="186"/>
    </row>
    <row r="721" spans="1:3" s="110" customFormat="1" ht="12.75">
      <c r="A721" s="484"/>
      <c r="B721" s="186"/>
      <c r="C721" s="186"/>
    </row>
    <row r="722" spans="1:3" s="110" customFormat="1" ht="12.75">
      <c r="A722" s="484"/>
      <c r="B722" s="186"/>
      <c r="C722" s="186"/>
    </row>
    <row r="723" spans="1:3" s="110" customFormat="1" ht="12.75">
      <c r="A723" s="484"/>
      <c r="B723" s="186"/>
      <c r="C723" s="186"/>
    </row>
    <row r="724" spans="1:3" s="110" customFormat="1" ht="12.75">
      <c r="A724" s="484"/>
      <c r="B724" s="186"/>
      <c r="C724" s="186"/>
    </row>
    <row r="725" spans="1:3" s="110" customFormat="1" ht="12.75">
      <c r="A725" s="484"/>
      <c r="B725" s="186"/>
      <c r="C725" s="186"/>
    </row>
    <row r="726" spans="1:3" s="110" customFormat="1" ht="12.75">
      <c r="A726" s="484"/>
      <c r="B726" s="186"/>
      <c r="C726" s="186"/>
    </row>
    <row r="727" spans="1:3" s="110" customFormat="1" ht="12.75">
      <c r="A727" s="484"/>
      <c r="B727" s="186"/>
      <c r="C727" s="186"/>
    </row>
    <row r="728" spans="1:3" s="110" customFormat="1" ht="12.75">
      <c r="A728" s="484"/>
      <c r="B728" s="186"/>
      <c r="C728" s="186"/>
    </row>
    <row r="729" spans="1:3" s="110" customFormat="1" ht="12.75">
      <c r="A729" s="484"/>
      <c r="B729" s="186"/>
      <c r="C729" s="186"/>
    </row>
    <row r="730" spans="1:3" s="110" customFormat="1" ht="12.75">
      <c r="A730" s="484"/>
      <c r="B730" s="186"/>
      <c r="C730" s="186"/>
    </row>
    <row r="731" spans="1:3" s="110" customFormat="1" ht="12.75">
      <c r="A731" s="484"/>
      <c r="B731" s="186"/>
      <c r="C731" s="186"/>
    </row>
    <row r="732" spans="1:3" s="110" customFormat="1" ht="12.75">
      <c r="A732" s="484"/>
      <c r="B732" s="186"/>
      <c r="C732" s="186"/>
    </row>
    <row r="733" spans="1:3" s="110" customFormat="1" ht="12.75">
      <c r="A733" s="484"/>
      <c r="B733" s="186"/>
      <c r="C733" s="186"/>
    </row>
    <row r="734" spans="1:3" s="110" customFormat="1" ht="12.75">
      <c r="A734" s="484"/>
      <c r="B734" s="186"/>
      <c r="C734" s="186"/>
    </row>
    <row r="735" spans="1:3" s="110" customFormat="1" ht="12.75">
      <c r="A735" s="484"/>
      <c r="B735" s="186"/>
      <c r="C735" s="186"/>
    </row>
    <row r="736" spans="1:3" s="110" customFormat="1" ht="12.75">
      <c r="A736" s="484"/>
      <c r="B736" s="186"/>
      <c r="C736" s="186"/>
    </row>
    <row r="737" spans="1:3" s="110" customFormat="1" ht="12.75">
      <c r="A737" s="484"/>
      <c r="B737" s="186"/>
      <c r="C737" s="186"/>
    </row>
    <row r="738" spans="1:3" s="110" customFormat="1" ht="12.75">
      <c r="A738" s="484"/>
      <c r="B738" s="186"/>
      <c r="C738" s="186"/>
    </row>
    <row r="739" spans="1:3" s="110" customFormat="1" ht="12.75">
      <c r="A739" s="484"/>
      <c r="B739" s="186"/>
      <c r="C739" s="186"/>
    </row>
    <row r="740" spans="1:3" s="110" customFormat="1" ht="12.75">
      <c r="A740" s="484"/>
      <c r="B740" s="186"/>
      <c r="C740" s="186"/>
    </row>
    <row r="741" spans="1:3" s="110" customFormat="1" ht="12.75">
      <c r="A741" s="484"/>
      <c r="B741" s="186"/>
      <c r="C741" s="186"/>
    </row>
    <row r="742" spans="1:3" s="110" customFormat="1" ht="12.75">
      <c r="A742" s="484"/>
      <c r="B742" s="186"/>
      <c r="C742" s="186"/>
    </row>
    <row r="743" spans="1:3" s="110" customFormat="1" ht="12.75">
      <c r="A743" s="484"/>
      <c r="B743" s="186"/>
      <c r="C743" s="186"/>
    </row>
    <row r="744" spans="1:3" s="110" customFormat="1" ht="12.75">
      <c r="A744" s="484"/>
      <c r="B744" s="186"/>
      <c r="C744" s="186"/>
    </row>
    <row r="745" spans="1:3" s="110" customFormat="1" ht="12.75">
      <c r="A745" s="484"/>
      <c r="B745" s="186"/>
      <c r="C745" s="186"/>
    </row>
    <row r="746" spans="1:3" s="110" customFormat="1" ht="12.75">
      <c r="A746" s="484"/>
      <c r="B746" s="186"/>
      <c r="C746" s="186"/>
    </row>
    <row r="747" spans="1:3" s="110" customFormat="1" ht="12.75">
      <c r="A747" s="484"/>
      <c r="B747" s="186"/>
      <c r="C747" s="186"/>
    </row>
    <row r="748" spans="1:3" s="110" customFormat="1" ht="12.75">
      <c r="A748" s="484"/>
      <c r="B748" s="186"/>
      <c r="C748" s="186"/>
    </row>
    <row r="749" spans="1:3" s="110" customFormat="1" ht="12.75">
      <c r="A749" s="484"/>
      <c r="B749" s="186"/>
      <c r="C749" s="186"/>
    </row>
    <row r="750" spans="1:3" s="110" customFormat="1" ht="12.75">
      <c r="A750" s="484"/>
      <c r="B750" s="186"/>
      <c r="C750" s="186"/>
    </row>
    <row r="751" spans="1:3" s="110" customFormat="1" ht="12.75">
      <c r="A751" s="484"/>
      <c r="B751" s="186"/>
      <c r="C751" s="186"/>
    </row>
    <row r="752" spans="1:3" s="110" customFormat="1" ht="12.75">
      <c r="A752" s="484"/>
      <c r="B752" s="186"/>
      <c r="C752" s="186"/>
    </row>
    <row r="753" spans="1:3" s="110" customFormat="1" ht="12.75">
      <c r="A753" s="484"/>
      <c r="B753" s="186"/>
      <c r="C753" s="186"/>
    </row>
    <row r="754" spans="1:3" s="110" customFormat="1" ht="12.75">
      <c r="A754" s="484"/>
      <c r="B754" s="186"/>
      <c r="C754" s="186"/>
    </row>
    <row r="755" spans="1:3" s="110" customFormat="1" ht="12.75">
      <c r="A755" s="484"/>
      <c r="B755" s="186"/>
      <c r="C755" s="186"/>
    </row>
    <row r="756" spans="1:3" s="110" customFormat="1" ht="12.75">
      <c r="A756" s="484"/>
      <c r="B756" s="186"/>
      <c r="C756" s="186"/>
    </row>
    <row r="757" spans="1:3" s="110" customFormat="1" ht="12.75">
      <c r="A757" s="484"/>
      <c r="B757" s="186"/>
      <c r="C757" s="186"/>
    </row>
    <row r="758" spans="1:3" s="110" customFormat="1" ht="12.75">
      <c r="A758" s="484"/>
      <c r="B758" s="186"/>
      <c r="C758" s="186"/>
    </row>
    <row r="759" spans="1:3" s="110" customFormat="1" ht="12.75">
      <c r="A759" s="484"/>
      <c r="B759" s="186"/>
      <c r="C759" s="186"/>
    </row>
    <row r="760" spans="1:3" s="110" customFormat="1" ht="12.75">
      <c r="A760" s="484"/>
      <c r="B760" s="186"/>
      <c r="C760" s="186"/>
    </row>
    <row r="761" spans="1:3" s="110" customFormat="1" ht="12.75">
      <c r="A761" s="484"/>
      <c r="B761" s="186"/>
      <c r="C761" s="186"/>
    </row>
    <row r="762" spans="1:3" s="110" customFormat="1" ht="12.75">
      <c r="A762" s="484"/>
      <c r="B762" s="186"/>
      <c r="C762" s="186"/>
    </row>
    <row r="763" spans="1:3" s="110" customFormat="1" ht="12.75">
      <c r="A763" s="484"/>
      <c r="B763" s="186"/>
      <c r="C763" s="186"/>
    </row>
    <row r="764" spans="1:3" s="110" customFormat="1" ht="12.75">
      <c r="A764" s="484"/>
      <c r="B764" s="186"/>
      <c r="C764" s="186"/>
    </row>
    <row r="765" spans="1:3" s="110" customFormat="1" ht="12.75">
      <c r="A765" s="484"/>
      <c r="B765" s="186"/>
      <c r="C765" s="186"/>
    </row>
    <row r="766" spans="1:3" s="110" customFormat="1" ht="12.75">
      <c r="A766" s="484"/>
      <c r="B766" s="186"/>
      <c r="C766" s="186"/>
    </row>
    <row r="767" spans="1:3" s="110" customFormat="1" ht="12.75">
      <c r="A767" s="484"/>
      <c r="B767" s="186"/>
      <c r="C767" s="186"/>
    </row>
    <row r="768" spans="1:3" s="110" customFormat="1" ht="12.75">
      <c r="A768" s="484"/>
      <c r="B768" s="186"/>
      <c r="C768" s="186"/>
    </row>
    <row r="769" spans="1:3" s="110" customFormat="1" ht="12.75">
      <c r="A769" s="484"/>
      <c r="B769" s="186"/>
      <c r="C769" s="186"/>
    </row>
    <row r="770" spans="1:3" s="110" customFormat="1" ht="12.75">
      <c r="A770" s="484"/>
      <c r="B770" s="186"/>
      <c r="C770" s="186"/>
    </row>
    <row r="771" spans="1:3" s="110" customFormat="1" ht="12.75">
      <c r="A771" s="484"/>
      <c r="B771" s="186"/>
      <c r="C771" s="186"/>
    </row>
    <row r="772" spans="1:3" s="110" customFormat="1" ht="12.75">
      <c r="A772" s="484"/>
      <c r="B772" s="186"/>
      <c r="C772" s="186"/>
    </row>
    <row r="773" spans="1:3" s="110" customFormat="1" ht="12.75">
      <c r="A773" s="484"/>
      <c r="B773" s="186"/>
      <c r="C773" s="186"/>
    </row>
    <row r="774" spans="1:3" s="110" customFormat="1" ht="12.75">
      <c r="A774" s="484"/>
      <c r="B774" s="186"/>
      <c r="C774" s="186"/>
    </row>
    <row r="775" spans="1:3" s="110" customFormat="1" ht="12.75">
      <c r="A775" s="484"/>
      <c r="B775" s="186"/>
      <c r="C775" s="186"/>
    </row>
    <row r="776" spans="1:3" s="110" customFormat="1" ht="12.75">
      <c r="A776" s="484"/>
      <c r="B776" s="186"/>
      <c r="C776" s="186"/>
    </row>
    <row r="777" spans="1:3" s="110" customFormat="1" ht="12.75">
      <c r="A777" s="484"/>
      <c r="B777" s="186"/>
      <c r="C777" s="186"/>
    </row>
    <row r="778" spans="1:3" s="110" customFormat="1" ht="12.75">
      <c r="A778" s="484"/>
      <c r="B778" s="186"/>
      <c r="C778" s="186"/>
    </row>
    <row r="779" spans="1:3" s="110" customFormat="1" ht="12.75">
      <c r="A779" s="484"/>
      <c r="B779" s="186"/>
      <c r="C779" s="186"/>
    </row>
    <row r="780" spans="1:3" s="110" customFormat="1" ht="12.75">
      <c r="A780" s="484"/>
      <c r="B780" s="186"/>
      <c r="C780" s="186"/>
    </row>
    <row r="781" spans="1:3" s="110" customFormat="1" ht="12.75">
      <c r="A781" s="484"/>
      <c r="B781" s="186"/>
      <c r="C781" s="186"/>
    </row>
    <row r="782" spans="1:3" s="110" customFormat="1" ht="12.75">
      <c r="A782" s="484"/>
      <c r="B782" s="186"/>
      <c r="C782" s="186"/>
    </row>
    <row r="783" spans="1:3" s="110" customFormat="1" ht="12.75">
      <c r="A783" s="484"/>
      <c r="B783" s="186"/>
      <c r="C783" s="186"/>
    </row>
    <row r="784" spans="1:3" s="110" customFormat="1" ht="12.75">
      <c r="A784" s="484"/>
      <c r="B784" s="186"/>
      <c r="C784" s="186"/>
    </row>
    <row r="785" spans="1:3" s="110" customFormat="1" ht="12.75">
      <c r="A785" s="484"/>
      <c r="B785" s="186"/>
      <c r="C785" s="186"/>
    </row>
    <row r="786" spans="1:3" s="110" customFormat="1" ht="12.75">
      <c r="A786" s="484"/>
      <c r="B786" s="186"/>
      <c r="C786" s="186"/>
    </row>
    <row r="787" spans="1:3" s="110" customFormat="1" ht="12.75">
      <c r="A787" s="484"/>
      <c r="B787" s="186"/>
      <c r="C787" s="186"/>
    </row>
    <row r="788" spans="1:3" s="110" customFormat="1" ht="12.75">
      <c r="A788" s="484"/>
      <c r="B788" s="186"/>
      <c r="C788" s="186"/>
    </row>
    <row r="789" spans="1:3" s="110" customFormat="1" ht="12.75">
      <c r="A789" s="484"/>
      <c r="B789" s="186"/>
      <c r="C789" s="186"/>
    </row>
    <row r="790" spans="1:3" s="110" customFormat="1" ht="12.75">
      <c r="A790" s="484"/>
      <c r="B790" s="186"/>
      <c r="C790" s="186"/>
    </row>
    <row r="791" spans="1:3" s="110" customFormat="1" ht="12.75">
      <c r="A791" s="484"/>
      <c r="B791" s="186"/>
      <c r="C791" s="186"/>
    </row>
    <row r="792" spans="1:3" s="110" customFormat="1" ht="12.75">
      <c r="A792" s="484"/>
      <c r="B792" s="186"/>
      <c r="C792" s="186"/>
    </row>
    <row r="793" spans="1:3" s="110" customFormat="1" ht="12.75">
      <c r="A793" s="484"/>
      <c r="B793" s="186"/>
      <c r="C793" s="186"/>
    </row>
    <row r="794" spans="1:3" s="110" customFormat="1" ht="12.75">
      <c r="A794" s="484"/>
      <c r="B794" s="186"/>
      <c r="C794" s="186"/>
    </row>
    <row r="795" spans="1:3" s="110" customFormat="1" ht="12.75">
      <c r="A795" s="484"/>
      <c r="B795" s="186"/>
      <c r="C795" s="186"/>
    </row>
    <row r="796" spans="1:3" s="110" customFormat="1" ht="12.75">
      <c r="A796" s="484"/>
      <c r="B796" s="186"/>
      <c r="C796" s="186"/>
    </row>
    <row r="797" spans="1:3" s="110" customFormat="1" ht="12.75">
      <c r="A797" s="484"/>
      <c r="B797" s="186"/>
      <c r="C797" s="186"/>
    </row>
    <row r="798" spans="1:3" s="110" customFormat="1" ht="12.75">
      <c r="A798" s="484"/>
      <c r="B798" s="186"/>
      <c r="C798" s="186"/>
    </row>
    <row r="799" spans="1:3" s="110" customFormat="1" ht="12.75">
      <c r="A799" s="484"/>
      <c r="B799" s="186"/>
      <c r="C799" s="186"/>
    </row>
    <row r="800" spans="1:3" s="110" customFormat="1" ht="12.75">
      <c r="A800" s="484"/>
      <c r="B800" s="186"/>
      <c r="C800" s="186"/>
    </row>
    <row r="801" spans="1:3" s="110" customFormat="1" ht="12.75">
      <c r="A801" s="484"/>
      <c r="B801" s="186"/>
      <c r="C801" s="186"/>
    </row>
    <row r="802" spans="1:3" s="110" customFormat="1" ht="12.75">
      <c r="A802" s="484"/>
      <c r="B802" s="186"/>
      <c r="C802" s="186"/>
    </row>
    <row r="803" spans="1:3" s="110" customFormat="1" ht="12.75">
      <c r="A803" s="484"/>
      <c r="B803" s="186"/>
      <c r="C803" s="186"/>
    </row>
    <row r="804" spans="1:3" s="110" customFormat="1" ht="12.75">
      <c r="A804" s="484"/>
      <c r="B804" s="186"/>
      <c r="C804" s="186"/>
    </row>
    <row r="805" spans="1:3" s="110" customFormat="1" ht="12.75">
      <c r="A805" s="484"/>
      <c r="B805" s="186"/>
      <c r="C805" s="186"/>
    </row>
    <row r="806" spans="1:3" s="110" customFormat="1" ht="12.75">
      <c r="A806" s="484"/>
      <c r="B806" s="186"/>
      <c r="C806" s="186"/>
    </row>
    <row r="807" spans="1:3" s="110" customFormat="1" ht="12.75">
      <c r="A807" s="484"/>
      <c r="B807" s="186"/>
      <c r="C807" s="186"/>
    </row>
    <row r="808" spans="1:3" s="110" customFormat="1" ht="12.75">
      <c r="A808" s="484"/>
      <c r="B808" s="186"/>
      <c r="C808" s="186"/>
    </row>
    <row r="809" spans="1:3" s="110" customFormat="1" ht="12.75">
      <c r="A809" s="484"/>
      <c r="B809" s="186"/>
      <c r="C809" s="186"/>
    </row>
    <row r="810" spans="1:3" s="110" customFormat="1" ht="12.75">
      <c r="A810" s="484"/>
      <c r="B810" s="186"/>
      <c r="C810" s="186"/>
    </row>
    <row r="811" spans="1:3" s="110" customFormat="1" ht="12.75">
      <c r="A811" s="484"/>
      <c r="B811" s="186"/>
      <c r="C811" s="186"/>
    </row>
    <row r="812" spans="1:3" s="110" customFormat="1" ht="12.75">
      <c r="A812" s="484"/>
      <c r="B812" s="186"/>
      <c r="C812" s="186"/>
    </row>
    <row r="813" spans="1:3" s="110" customFormat="1" ht="12.75">
      <c r="A813" s="484"/>
      <c r="B813" s="186"/>
      <c r="C813" s="186"/>
    </row>
    <row r="814" spans="1:3" s="110" customFormat="1" ht="12.75">
      <c r="A814" s="484"/>
      <c r="B814" s="186"/>
      <c r="C814" s="186"/>
    </row>
    <row r="815" spans="1:3" s="110" customFormat="1" ht="12.75">
      <c r="A815" s="484"/>
      <c r="B815" s="186"/>
      <c r="C815" s="186"/>
    </row>
    <row r="816" spans="1:3" s="110" customFormat="1" ht="12.75">
      <c r="A816" s="484"/>
      <c r="B816" s="186"/>
      <c r="C816" s="186"/>
    </row>
    <row r="817" spans="1:3" s="110" customFormat="1" ht="12.75">
      <c r="A817" s="484"/>
      <c r="B817" s="186"/>
      <c r="C817" s="186"/>
    </row>
    <row r="818" spans="1:3" s="110" customFormat="1" ht="12.75">
      <c r="A818" s="484"/>
      <c r="B818" s="186"/>
      <c r="C818" s="186"/>
    </row>
    <row r="819" spans="1:3" s="110" customFormat="1" ht="12.75">
      <c r="A819" s="484"/>
      <c r="B819" s="186"/>
      <c r="C819" s="186"/>
    </row>
    <row r="820" spans="1:3" s="110" customFormat="1" ht="12.75">
      <c r="A820" s="484"/>
      <c r="B820" s="186"/>
      <c r="C820" s="186"/>
    </row>
    <row r="821" spans="1:3" s="110" customFormat="1" ht="12.75">
      <c r="A821" s="484"/>
      <c r="B821" s="186"/>
      <c r="C821" s="186"/>
    </row>
    <row r="822" spans="1:3" s="110" customFormat="1" ht="12.75">
      <c r="A822" s="484"/>
      <c r="B822" s="186"/>
      <c r="C822" s="186"/>
    </row>
    <row r="823" spans="1:3" s="110" customFormat="1" ht="12.75">
      <c r="A823" s="484"/>
      <c r="B823" s="186"/>
      <c r="C823" s="186"/>
    </row>
    <row r="824" spans="1:3" s="110" customFormat="1" ht="12.75">
      <c r="A824" s="484"/>
      <c r="B824" s="186"/>
      <c r="C824" s="186"/>
    </row>
    <row r="825" spans="1:3" s="110" customFormat="1" ht="12.75">
      <c r="A825" s="484"/>
      <c r="B825" s="186"/>
      <c r="C825" s="186"/>
    </row>
    <row r="826" spans="1:3" s="110" customFormat="1" ht="12.75">
      <c r="A826" s="484"/>
      <c r="B826" s="186"/>
      <c r="C826" s="186"/>
    </row>
    <row r="827" spans="1:3" s="110" customFormat="1" ht="12.75">
      <c r="A827" s="484"/>
      <c r="B827" s="186"/>
      <c r="C827" s="186"/>
    </row>
    <row r="828" spans="1:3" s="110" customFormat="1" ht="12.75">
      <c r="A828" s="484"/>
      <c r="B828" s="186"/>
      <c r="C828" s="186"/>
    </row>
    <row r="829" spans="1:3" s="110" customFormat="1" ht="12.75">
      <c r="A829" s="484"/>
      <c r="B829" s="186"/>
      <c r="C829" s="186"/>
    </row>
    <row r="830" spans="1:3" s="110" customFormat="1" ht="12.75">
      <c r="A830" s="484"/>
      <c r="B830" s="186"/>
      <c r="C830" s="186"/>
    </row>
    <row r="831" spans="1:3" s="110" customFormat="1" ht="12.75">
      <c r="A831" s="484"/>
      <c r="B831" s="186"/>
      <c r="C831" s="186"/>
    </row>
    <row r="832" spans="1:3" s="110" customFormat="1" ht="12.75">
      <c r="A832" s="484"/>
      <c r="B832" s="186"/>
      <c r="C832" s="186"/>
    </row>
    <row r="833" spans="1:3" s="110" customFormat="1" ht="12.75">
      <c r="A833" s="484"/>
      <c r="B833" s="186"/>
      <c r="C833" s="186"/>
    </row>
    <row r="834" spans="1:3" s="110" customFormat="1" ht="12.75">
      <c r="A834" s="484"/>
      <c r="B834" s="186"/>
      <c r="C834" s="186"/>
    </row>
    <row r="835" spans="1:3" s="110" customFormat="1" ht="12.75">
      <c r="A835" s="484"/>
      <c r="B835" s="186"/>
      <c r="C835" s="186"/>
    </row>
    <row r="836" spans="1:3" s="110" customFormat="1" ht="12.75">
      <c r="A836" s="484"/>
      <c r="B836" s="186"/>
      <c r="C836" s="186"/>
    </row>
    <row r="837" spans="1:3" s="110" customFormat="1" ht="12.75">
      <c r="A837" s="484"/>
      <c r="B837" s="186"/>
      <c r="C837" s="186"/>
    </row>
    <row r="838" spans="1:3" s="110" customFormat="1" ht="12.75">
      <c r="A838" s="484"/>
      <c r="B838" s="186"/>
      <c r="C838" s="186"/>
    </row>
    <row r="839" spans="1:3" s="110" customFormat="1" ht="12.75">
      <c r="A839" s="484"/>
      <c r="B839" s="186"/>
      <c r="C839" s="186"/>
    </row>
    <row r="840" spans="1:3" s="110" customFormat="1" ht="12.75">
      <c r="A840" s="484"/>
      <c r="B840" s="186"/>
      <c r="C840" s="186"/>
    </row>
    <row r="841" spans="1:3" s="110" customFormat="1" ht="12.75">
      <c r="A841" s="484"/>
      <c r="B841" s="186"/>
      <c r="C841" s="186"/>
    </row>
    <row r="842" spans="1:3" s="110" customFormat="1" ht="12.75">
      <c r="A842" s="484"/>
      <c r="B842" s="186"/>
      <c r="C842" s="186"/>
    </row>
    <row r="843" spans="1:3" s="110" customFormat="1" ht="12.75">
      <c r="A843" s="484"/>
      <c r="B843" s="186"/>
      <c r="C843" s="186"/>
    </row>
    <row r="844" spans="1:3" s="110" customFormat="1" ht="12.75">
      <c r="A844" s="484"/>
      <c r="B844" s="186"/>
      <c r="C844" s="186"/>
    </row>
    <row r="845" spans="1:3" s="110" customFormat="1" ht="12.75">
      <c r="A845" s="484"/>
      <c r="B845" s="186"/>
      <c r="C845" s="186"/>
    </row>
    <row r="846" spans="1:3" s="110" customFormat="1" ht="12.75">
      <c r="A846" s="484"/>
      <c r="B846" s="186"/>
      <c r="C846" s="186"/>
    </row>
    <row r="847" spans="1:3" s="110" customFormat="1" ht="12.75">
      <c r="A847" s="484"/>
      <c r="B847" s="186"/>
      <c r="C847" s="186"/>
    </row>
    <row r="848" spans="1:3" s="110" customFormat="1" ht="12.75">
      <c r="A848" s="484"/>
      <c r="B848" s="186"/>
      <c r="C848" s="186"/>
    </row>
    <row r="849" spans="1:3" s="110" customFormat="1" ht="12.75">
      <c r="A849" s="484"/>
      <c r="B849" s="186"/>
      <c r="C849" s="186"/>
    </row>
    <row r="850" spans="1:3" s="110" customFormat="1" ht="12.75">
      <c r="A850" s="484"/>
      <c r="B850" s="186"/>
      <c r="C850" s="186"/>
    </row>
    <row r="851" spans="1:3" s="110" customFormat="1" ht="12.75">
      <c r="A851" s="484"/>
      <c r="B851" s="186"/>
      <c r="C851" s="186"/>
    </row>
    <row r="852" spans="1:3" s="110" customFormat="1" ht="12.75">
      <c r="A852" s="484"/>
      <c r="B852" s="186"/>
      <c r="C852" s="186"/>
    </row>
    <row r="853" spans="1:3" s="110" customFormat="1" ht="12.75">
      <c r="A853" s="484"/>
      <c r="B853" s="186"/>
      <c r="C853" s="186"/>
    </row>
    <row r="854" spans="1:3" s="110" customFormat="1" ht="12.75">
      <c r="A854" s="484"/>
      <c r="B854" s="186"/>
      <c r="C854" s="186"/>
    </row>
    <row r="855" spans="1:3" s="110" customFormat="1" ht="12.75">
      <c r="A855" s="484"/>
      <c r="B855" s="186"/>
      <c r="C855" s="186"/>
    </row>
    <row r="856" spans="1:3" s="110" customFormat="1" ht="12.75">
      <c r="A856" s="484"/>
      <c r="B856" s="186"/>
      <c r="C856" s="186"/>
    </row>
    <row r="857" spans="1:3" s="110" customFormat="1" ht="12.75">
      <c r="A857" s="484"/>
      <c r="B857" s="186"/>
      <c r="C857" s="186"/>
    </row>
    <row r="858" spans="1:3" s="110" customFormat="1" ht="12.75">
      <c r="A858" s="484"/>
      <c r="B858" s="186"/>
      <c r="C858" s="186"/>
    </row>
    <row r="859" spans="1:3" s="110" customFormat="1" ht="12.75">
      <c r="A859" s="484"/>
      <c r="B859" s="186"/>
      <c r="C859" s="186"/>
    </row>
    <row r="860" spans="1:3" s="110" customFormat="1" ht="12.75">
      <c r="A860" s="484"/>
      <c r="B860" s="186"/>
      <c r="C860" s="186"/>
    </row>
    <row r="861" spans="1:3" s="110" customFormat="1" ht="12.75">
      <c r="A861" s="484"/>
      <c r="B861" s="186"/>
      <c r="C861" s="186"/>
    </row>
    <row r="862" spans="1:3" s="110" customFormat="1" ht="12.75">
      <c r="A862" s="484"/>
      <c r="B862" s="186"/>
      <c r="C862" s="186"/>
    </row>
    <row r="863" spans="1:3" s="110" customFormat="1" ht="12.75">
      <c r="A863" s="484"/>
      <c r="B863" s="186"/>
      <c r="C863" s="186"/>
    </row>
    <row r="864" spans="1:3" s="110" customFormat="1" ht="12.75">
      <c r="A864" s="484"/>
      <c r="B864" s="186"/>
      <c r="C864" s="186"/>
    </row>
    <row r="865" spans="1:3" s="110" customFormat="1" ht="12.75">
      <c r="A865" s="484"/>
      <c r="B865" s="186"/>
      <c r="C865" s="186"/>
    </row>
    <row r="866" spans="1:3" s="110" customFormat="1" ht="12.75">
      <c r="A866" s="484"/>
      <c r="B866" s="186"/>
      <c r="C866" s="186"/>
    </row>
    <row r="867" spans="1:3" s="110" customFormat="1" ht="12.75">
      <c r="A867" s="484"/>
      <c r="B867" s="186"/>
      <c r="C867" s="186"/>
    </row>
    <row r="868" spans="1:3" s="110" customFormat="1" ht="12.75">
      <c r="A868" s="484"/>
      <c r="B868" s="186"/>
      <c r="C868" s="186"/>
    </row>
    <row r="869" spans="1:3" s="110" customFormat="1" ht="12.75">
      <c r="A869" s="484"/>
      <c r="B869" s="186"/>
      <c r="C869" s="186"/>
    </row>
    <row r="870" spans="1:3" s="110" customFormat="1" ht="12.75">
      <c r="A870" s="484"/>
      <c r="B870" s="186"/>
      <c r="C870" s="186"/>
    </row>
    <row r="871" spans="1:3" s="110" customFormat="1" ht="12.75">
      <c r="A871" s="484"/>
      <c r="B871" s="186"/>
      <c r="C871" s="186"/>
    </row>
    <row r="872" spans="1:3" s="110" customFormat="1" ht="12.75">
      <c r="A872" s="484"/>
      <c r="B872" s="186"/>
      <c r="C872" s="186"/>
    </row>
    <row r="873" spans="1:3" s="110" customFormat="1" ht="12.75">
      <c r="A873" s="484"/>
      <c r="B873" s="186"/>
      <c r="C873" s="186"/>
    </row>
    <row r="874" spans="1:3" s="110" customFormat="1" ht="12.75">
      <c r="A874" s="484"/>
      <c r="B874" s="186"/>
      <c r="C874" s="186"/>
    </row>
    <row r="875" spans="1:3" s="110" customFormat="1" ht="12.75">
      <c r="A875" s="484"/>
      <c r="B875" s="186"/>
      <c r="C875" s="186"/>
    </row>
    <row r="876" spans="1:3" s="110" customFormat="1" ht="12.75">
      <c r="A876" s="484"/>
      <c r="B876" s="186"/>
      <c r="C876" s="186"/>
    </row>
    <row r="877" spans="1:3" s="110" customFormat="1" ht="12.75">
      <c r="A877" s="484"/>
      <c r="B877" s="186"/>
      <c r="C877" s="186"/>
    </row>
    <row r="878" spans="1:3" s="110" customFormat="1" ht="12.75">
      <c r="A878" s="484"/>
      <c r="B878" s="186"/>
      <c r="C878" s="186"/>
    </row>
    <row r="879" spans="1:3" s="110" customFormat="1" ht="12.75">
      <c r="A879" s="484"/>
      <c r="B879" s="186"/>
      <c r="C879" s="186"/>
    </row>
    <row r="880" spans="1:3" s="110" customFormat="1" ht="12.75">
      <c r="A880" s="484"/>
      <c r="B880" s="186"/>
      <c r="C880" s="186"/>
    </row>
    <row r="881" spans="1:3" s="110" customFormat="1" ht="12.75">
      <c r="A881" s="484"/>
      <c r="B881" s="186"/>
      <c r="C881" s="186"/>
    </row>
    <row r="882" spans="1:3" s="110" customFormat="1" ht="12.75">
      <c r="A882" s="484"/>
      <c r="B882" s="186"/>
      <c r="C882" s="186"/>
    </row>
    <row r="883" spans="1:3" s="110" customFormat="1" ht="12.75">
      <c r="A883" s="484"/>
      <c r="B883" s="186"/>
      <c r="C883" s="186"/>
    </row>
    <row r="884" spans="1:3" s="110" customFormat="1" ht="12.75">
      <c r="A884" s="484"/>
      <c r="B884" s="186"/>
      <c r="C884" s="186"/>
    </row>
    <row r="885" spans="1:3" s="110" customFormat="1" ht="12.75">
      <c r="A885" s="484"/>
      <c r="B885" s="186"/>
      <c r="C885" s="186"/>
    </row>
    <row r="886" spans="1:3" s="110" customFormat="1" ht="12.75">
      <c r="A886" s="484"/>
      <c r="B886" s="186"/>
      <c r="C886" s="186"/>
    </row>
    <row r="887" spans="1:3" s="110" customFormat="1" ht="12.75">
      <c r="A887" s="484"/>
      <c r="B887" s="186"/>
      <c r="C887" s="186"/>
    </row>
    <row r="888" spans="1:3" s="110" customFormat="1" ht="12.75">
      <c r="A888" s="484"/>
      <c r="B888" s="186"/>
      <c r="C888" s="186"/>
    </row>
    <row r="889" spans="1:3" s="110" customFormat="1" ht="12.75">
      <c r="A889" s="484"/>
      <c r="B889" s="186"/>
      <c r="C889" s="186"/>
    </row>
    <row r="890" spans="1:3" s="110" customFormat="1" ht="12.75">
      <c r="A890" s="484"/>
      <c r="B890" s="186"/>
      <c r="C890" s="186"/>
    </row>
    <row r="891" spans="1:3" s="110" customFormat="1" ht="12.75">
      <c r="A891" s="484"/>
      <c r="B891" s="186"/>
      <c r="C891" s="186"/>
    </row>
    <row r="892" spans="1:3" s="110" customFormat="1" ht="12.75">
      <c r="A892" s="484"/>
      <c r="B892" s="186"/>
      <c r="C892" s="186"/>
    </row>
    <row r="893" spans="1:3" s="110" customFormat="1" ht="12.75">
      <c r="A893" s="484"/>
      <c r="B893" s="186"/>
      <c r="C893" s="186"/>
    </row>
    <row r="894" spans="1:3" s="110" customFormat="1" ht="12.75">
      <c r="A894" s="484"/>
      <c r="B894" s="186"/>
      <c r="C894" s="186"/>
    </row>
    <row r="895" spans="1:3" s="110" customFormat="1" ht="12.75">
      <c r="A895" s="484"/>
      <c r="B895" s="186"/>
      <c r="C895" s="186"/>
    </row>
    <row r="896" spans="1:3" s="110" customFormat="1" ht="12.75">
      <c r="A896" s="484"/>
      <c r="B896" s="186"/>
      <c r="C896" s="186"/>
    </row>
    <row r="897" spans="1:3" s="110" customFormat="1" ht="12.75">
      <c r="A897" s="484"/>
      <c r="B897" s="186"/>
      <c r="C897" s="186"/>
    </row>
    <row r="898" spans="1:3" s="110" customFormat="1" ht="12.75">
      <c r="A898" s="484"/>
      <c r="B898" s="186"/>
      <c r="C898" s="186"/>
    </row>
    <row r="899" spans="1:3" s="110" customFormat="1" ht="12.75">
      <c r="A899" s="484"/>
      <c r="B899" s="186"/>
      <c r="C899" s="186"/>
    </row>
    <row r="900" spans="1:3" s="110" customFormat="1" ht="12.75">
      <c r="A900" s="484"/>
      <c r="B900" s="186"/>
      <c r="C900" s="186"/>
    </row>
    <row r="901" spans="1:3" s="110" customFormat="1" ht="12.75">
      <c r="A901" s="484"/>
      <c r="B901" s="186"/>
      <c r="C901" s="186"/>
    </row>
    <row r="902" spans="1:3" s="110" customFormat="1" ht="12.75">
      <c r="A902" s="484"/>
      <c r="B902" s="186"/>
      <c r="C902" s="186"/>
    </row>
    <row r="903" spans="1:3" s="110" customFormat="1" ht="12.75">
      <c r="A903" s="484"/>
      <c r="B903" s="186"/>
      <c r="C903" s="186"/>
    </row>
    <row r="904" spans="1:3" s="110" customFormat="1" ht="12.75">
      <c r="A904" s="484"/>
      <c r="B904" s="186"/>
      <c r="C904" s="186"/>
    </row>
    <row r="905" spans="1:3" s="110" customFormat="1" ht="12.75">
      <c r="A905" s="484"/>
      <c r="B905" s="186"/>
      <c r="C905" s="186"/>
    </row>
    <row r="906" spans="1:3" s="110" customFormat="1" ht="12.75">
      <c r="A906" s="484"/>
      <c r="B906" s="186"/>
      <c r="C906" s="186"/>
    </row>
    <row r="907" spans="1:3" s="110" customFormat="1" ht="12.75">
      <c r="A907" s="484"/>
      <c r="B907" s="186"/>
      <c r="C907" s="186"/>
    </row>
    <row r="908" spans="1:3" s="110" customFormat="1" ht="12.75">
      <c r="A908" s="484"/>
      <c r="B908" s="186"/>
      <c r="C908" s="186"/>
    </row>
    <row r="909" spans="1:3" s="110" customFormat="1" ht="12.75">
      <c r="A909" s="484"/>
      <c r="B909" s="186"/>
      <c r="C909" s="186"/>
    </row>
    <row r="910" spans="1:3" s="110" customFormat="1" ht="12.75">
      <c r="A910" s="484"/>
      <c r="B910" s="186"/>
      <c r="C910" s="186"/>
    </row>
    <row r="911" spans="1:3" s="110" customFormat="1" ht="12.75">
      <c r="A911" s="484"/>
      <c r="B911" s="186"/>
      <c r="C911" s="186"/>
    </row>
    <row r="912" spans="1:3" s="110" customFormat="1" ht="12.75">
      <c r="A912" s="484"/>
      <c r="B912" s="186"/>
      <c r="C912" s="186"/>
    </row>
    <row r="913" spans="1:3" s="110" customFormat="1" ht="12.75">
      <c r="A913" s="484"/>
      <c r="B913" s="186"/>
      <c r="C913" s="186"/>
    </row>
    <row r="914" spans="1:3" s="110" customFormat="1" ht="12.75">
      <c r="A914" s="484"/>
      <c r="B914" s="186"/>
      <c r="C914" s="186"/>
    </row>
    <row r="915" spans="1:3" s="110" customFormat="1" ht="12.75">
      <c r="A915" s="484"/>
      <c r="B915" s="186"/>
      <c r="C915" s="186"/>
    </row>
    <row r="916" spans="1:3" s="110" customFormat="1" ht="12.75">
      <c r="A916" s="484"/>
      <c r="B916" s="186"/>
      <c r="C916" s="186"/>
    </row>
    <row r="917" spans="1:3" s="110" customFormat="1" ht="12.75">
      <c r="A917" s="484"/>
      <c r="B917" s="186"/>
      <c r="C917" s="186"/>
    </row>
    <row r="918" spans="1:3" s="110" customFormat="1" ht="12.75">
      <c r="A918" s="484"/>
      <c r="B918" s="186"/>
      <c r="C918" s="186"/>
    </row>
    <row r="919" spans="1:3" s="110" customFormat="1" ht="12.75">
      <c r="A919" s="484"/>
      <c r="B919" s="186"/>
      <c r="C919" s="186"/>
    </row>
    <row r="920" spans="1:3" s="110" customFormat="1" ht="12.75">
      <c r="A920" s="484"/>
      <c r="B920" s="186"/>
      <c r="C920" s="186"/>
    </row>
    <row r="921" spans="1:3" s="110" customFormat="1" ht="12.75">
      <c r="A921" s="484"/>
      <c r="B921" s="186"/>
      <c r="C921" s="186"/>
    </row>
    <row r="922" spans="1:3" s="110" customFormat="1" ht="12.75">
      <c r="A922" s="484"/>
      <c r="B922" s="186"/>
      <c r="C922" s="186"/>
    </row>
    <row r="923" spans="1:3" s="110" customFormat="1" ht="12.75">
      <c r="A923" s="484"/>
      <c r="B923" s="186"/>
      <c r="C923" s="186"/>
    </row>
    <row r="924" spans="1:3" s="110" customFormat="1" ht="12.75">
      <c r="A924" s="484"/>
      <c r="B924" s="186"/>
      <c r="C924" s="186"/>
    </row>
    <row r="925" spans="1:3" s="110" customFormat="1" ht="12.75">
      <c r="A925" s="484"/>
      <c r="B925" s="186"/>
      <c r="C925" s="186"/>
    </row>
    <row r="926" spans="1:3" s="110" customFormat="1" ht="12.75">
      <c r="A926" s="484"/>
      <c r="B926" s="186"/>
      <c r="C926" s="186"/>
    </row>
    <row r="927" spans="1:3" s="110" customFormat="1" ht="12.75">
      <c r="A927" s="484"/>
      <c r="B927" s="186"/>
      <c r="C927" s="186"/>
    </row>
    <row r="928" spans="1:3" s="110" customFormat="1" ht="12.75">
      <c r="A928" s="484"/>
      <c r="B928" s="186"/>
      <c r="C928" s="186"/>
    </row>
    <row r="929" spans="1:3" s="110" customFormat="1" ht="12.75">
      <c r="A929" s="484"/>
      <c r="B929" s="186"/>
      <c r="C929" s="186"/>
    </row>
    <row r="930" spans="1:3" s="110" customFormat="1" ht="12.75">
      <c r="A930" s="484"/>
      <c r="B930" s="186"/>
      <c r="C930" s="186"/>
    </row>
    <row r="931" spans="1:3" s="110" customFormat="1" ht="12.75">
      <c r="A931" s="484"/>
      <c r="B931" s="186"/>
      <c r="C931" s="186"/>
    </row>
    <row r="932" spans="1:3" s="110" customFormat="1" ht="12.75">
      <c r="A932" s="484"/>
      <c r="B932" s="186"/>
      <c r="C932" s="186"/>
    </row>
    <row r="933" spans="1:3" s="110" customFormat="1" ht="12.75">
      <c r="A933" s="484"/>
      <c r="B933" s="186"/>
      <c r="C933" s="186"/>
    </row>
    <row r="934" spans="1:3" s="110" customFormat="1" ht="12.75">
      <c r="A934" s="484"/>
      <c r="B934" s="186"/>
      <c r="C934" s="186"/>
    </row>
    <row r="935" spans="1:3" s="110" customFormat="1" ht="12.75">
      <c r="A935" s="484"/>
      <c r="B935" s="186"/>
      <c r="C935" s="186"/>
    </row>
    <row r="936" spans="1:3" s="110" customFormat="1" ht="12.75">
      <c r="A936" s="484"/>
      <c r="B936" s="186"/>
      <c r="C936" s="186"/>
    </row>
    <row r="937" spans="1:3" s="110" customFormat="1" ht="12.75">
      <c r="A937" s="484"/>
      <c r="B937" s="186"/>
      <c r="C937" s="186"/>
    </row>
    <row r="938" spans="1:3" s="110" customFormat="1" ht="12.75">
      <c r="A938" s="484"/>
      <c r="B938" s="186"/>
      <c r="C938" s="186"/>
    </row>
    <row r="939" spans="1:3" s="110" customFormat="1" ht="12.75">
      <c r="A939" s="484"/>
      <c r="B939" s="186"/>
      <c r="C939" s="186"/>
    </row>
    <row r="940" spans="1:3" s="110" customFormat="1" ht="12.75">
      <c r="A940" s="484"/>
      <c r="B940" s="186"/>
      <c r="C940" s="186"/>
    </row>
    <row r="941" spans="1:3" s="110" customFormat="1" ht="12.75">
      <c r="A941" s="484"/>
      <c r="B941" s="186"/>
      <c r="C941" s="186"/>
    </row>
    <row r="942" spans="1:3" s="110" customFormat="1" ht="12.75">
      <c r="A942" s="484"/>
      <c r="B942" s="186"/>
      <c r="C942" s="186"/>
    </row>
    <row r="943" spans="1:3" s="110" customFormat="1" ht="12.75">
      <c r="A943" s="484"/>
      <c r="B943" s="186"/>
      <c r="C943" s="186"/>
    </row>
    <row r="944" spans="1:3" s="110" customFormat="1" ht="12.75">
      <c r="A944" s="484"/>
      <c r="B944" s="186"/>
      <c r="C944" s="186"/>
    </row>
    <row r="945" spans="1:3" s="110" customFormat="1" ht="12.75">
      <c r="A945" s="484"/>
      <c r="B945" s="186"/>
      <c r="C945" s="186"/>
    </row>
    <row r="946" spans="1:3" s="110" customFormat="1" ht="12.75">
      <c r="A946" s="484"/>
      <c r="B946" s="186"/>
      <c r="C946" s="186"/>
    </row>
    <row r="947" spans="1:3" s="110" customFormat="1" ht="12.75">
      <c r="A947" s="484"/>
      <c r="B947" s="186"/>
      <c r="C947" s="186"/>
    </row>
    <row r="948" spans="1:3" s="110" customFormat="1" ht="12.75">
      <c r="A948" s="484"/>
      <c r="B948" s="186"/>
      <c r="C948" s="186"/>
    </row>
    <row r="949" spans="1:3" s="110" customFormat="1" ht="12.75">
      <c r="A949" s="484"/>
      <c r="B949" s="186"/>
      <c r="C949" s="186"/>
    </row>
    <row r="950" spans="1:3" s="110" customFormat="1" ht="12.75">
      <c r="A950" s="484"/>
      <c r="B950" s="186"/>
      <c r="C950" s="186"/>
    </row>
    <row r="951" spans="1:3" s="110" customFormat="1" ht="12.75">
      <c r="A951" s="484"/>
      <c r="B951" s="186"/>
      <c r="C951" s="186"/>
    </row>
    <row r="952" spans="1:3" s="110" customFormat="1" ht="12.75">
      <c r="A952" s="484"/>
      <c r="B952" s="186"/>
      <c r="C952" s="186"/>
    </row>
    <row r="953" spans="1:3" s="110" customFormat="1" ht="12.75">
      <c r="A953" s="484"/>
      <c r="B953" s="186"/>
      <c r="C953" s="186"/>
    </row>
    <row r="954" spans="1:3" s="110" customFormat="1" ht="12.75">
      <c r="A954" s="484"/>
      <c r="B954" s="186"/>
      <c r="C954" s="186"/>
    </row>
    <row r="955" spans="1:3" s="110" customFormat="1" ht="12.75">
      <c r="A955" s="484"/>
      <c r="B955" s="186"/>
      <c r="C955" s="186"/>
    </row>
    <row r="956" spans="1:3" s="110" customFormat="1" ht="12.75">
      <c r="A956" s="484"/>
      <c r="B956" s="186"/>
      <c r="C956" s="186"/>
    </row>
    <row r="957" spans="1:3" s="110" customFormat="1" ht="12.75">
      <c r="A957" s="484"/>
      <c r="B957" s="186"/>
      <c r="C957" s="186"/>
    </row>
    <row r="958" spans="1:3" s="110" customFormat="1" ht="12.75">
      <c r="A958" s="484"/>
      <c r="B958" s="186"/>
      <c r="C958" s="186"/>
    </row>
    <row r="959" spans="1:3" s="110" customFormat="1" ht="12.75">
      <c r="A959" s="484"/>
      <c r="B959" s="186"/>
      <c r="C959" s="186"/>
    </row>
    <row r="960" spans="1:3" s="110" customFormat="1" ht="12.75">
      <c r="A960" s="484"/>
      <c r="B960" s="186"/>
      <c r="C960" s="186"/>
    </row>
    <row r="961" spans="1:3" s="110" customFormat="1" ht="12.75">
      <c r="A961" s="484"/>
      <c r="B961" s="186"/>
      <c r="C961" s="186"/>
    </row>
    <row r="962" spans="1:3" s="110" customFormat="1" ht="12.75">
      <c r="A962" s="484"/>
      <c r="B962" s="186"/>
      <c r="C962" s="186"/>
    </row>
    <row r="963" spans="1:3" s="110" customFormat="1" ht="12.75">
      <c r="A963" s="484"/>
      <c r="B963" s="186"/>
      <c r="C963" s="186"/>
    </row>
    <row r="964" spans="1:3" s="110" customFormat="1" ht="12.75">
      <c r="A964" s="484"/>
      <c r="B964" s="186"/>
      <c r="C964" s="186"/>
    </row>
    <row r="965" spans="1:3" s="110" customFormat="1" ht="12.75">
      <c r="A965" s="484"/>
      <c r="B965" s="186"/>
      <c r="C965" s="186"/>
    </row>
    <row r="966" spans="1:3" s="110" customFormat="1" ht="12.75">
      <c r="A966" s="484"/>
      <c r="B966" s="186"/>
      <c r="C966" s="186"/>
    </row>
    <row r="967" spans="1:3" s="110" customFormat="1" ht="12.75">
      <c r="A967" s="484"/>
      <c r="B967" s="186"/>
      <c r="C967" s="186"/>
    </row>
    <row r="968" spans="1:3" s="110" customFormat="1" ht="12.75">
      <c r="A968" s="484"/>
      <c r="B968" s="186"/>
      <c r="C968" s="186"/>
    </row>
    <row r="969" spans="1:3" s="110" customFormat="1" ht="12.75">
      <c r="A969" s="484"/>
      <c r="B969" s="186"/>
      <c r="C969" s="186"/>
    </row>
    <row r="970" spans="1:3" s="110" customFormat="1" ht="12.75">
      <c r="A970" s="484"/>
      <c r="B970" s="186"/>
      <c r="C970" s="186"/>
    </row>
    <row r="971" spans="1:3" s="110" customFormat="1" ht="12.75">
      <c r="A971" s="484"/>
      <c r="B971" s="186"/>
      <c r="C971" s="186"/>
    </row>
    <row r="972" spans="1:3" s="110" customFormat="1" ht="12.75">
      <c r="A972" s="484"/>
      <c r="B972" s="186"/>
      <c r="C972" s="186"/>
    </row>
    <row r="973" spans="1:3" s="110" customFormat="1" ht="12.75">
      <c r="A973" s="484"/>
      <c r="B973" s="186"/>
      <c r="C973" s="186"/>
    </row>
    <row r="974" spans="1:3" s="110" customFormat="1" ht="12.75">
      <c r="A974" s="484"/>
      <c r="B974" s="186"/>
      <c r="C974" s="186"/>
    </row>
    <row r="975" spans="1:3" s="110" customFormat="1" ht="12.75">
      <c r="A975" s="484"/>
      <c r="B975" s="186"/>
      <c r="C975" s="186"/>
    </row>
    <row r="976" spans="1:3" s="110" customFormat="1" ht="12.75">
      <c r="A976" s="484"/>
      <c r="B976" s="186"/>
      <c r="C976" s="186"/>
    </row>
    <row r="977" spans="1:3" s="110" customFormat="1" ht="12.75">
      <c r="A977" s="484"/>
      <c r="B977" s="186"/>
      <c r="C977" s="186"/>
    </row>
    <row r="978" spans="1:3" s="110" customFormat="1" ht="12.75">
      <c r="A978" s="484"/>
      <c r="B978" s="186"/>
      <c r="C978" s="186"/>
    </row>
    <row r="979" spans="1:3" s="110" customFormat="1" ht="12.75">
      <c r="A979" s="484"/>
      <c r="B979" s="186"/>
      <c r="C979" s="186"/>
    </row>
    <row r="980" spans="1:3" s="110" customFormat="1" ht="12.75">
      <c r="A980" s="484"/>
      <c r="B980" s="186"/>
      <c r="C980" s="186"/>
    </row>
    <row r="981" spans="1:3" s="110" customFormat="1" ht="12.75">
      <c r="A981" s="484"/>
      <c r="B981" s="186"/>
      <c r="C981" s="186"/>
    </row>
    <row r="982" spans="1:3" s="110" customFormat="1" ht="12.75">
      <c r="A982" s="484"/>
      <c r="B982" s="186"/>
      <c r="C982" s="186"/>
    </row>
    <row r="983" spans="1:3" s="110" customFormat="1" ht="12.75">
      <c r="A983" s="484"/>
      <c r="B983" s="186"/>
      <c r="C983" s="186"/>
    </row>
    <row r="984" spans="1:3" s="110" customFormat="1" ht="12.75">
      <c r="A984" s="484"/>
      <c r="B984" s="186"/>
      <c r="C984" s="186"/>
    </row>
    <row r="985" spans="1:3" s="110" customFormat="1" ht="12.75">
      <c r="A985" s="484"/>
      <c r="B985" s="186"/>
      <c r="C985" s="186"/>
    </row>
    <row r="986" spans="1:3" s="110" customFormat="1" ht="12.75">
      <c r="A986" s="484"/>
      <c r="B986" s="186"/>
      <c r="C986" s="186"/>
    </row>
    <row r="987" spans="1:3" s="110" customFormat="1" ht="12.75">
      <c r="A987" s="484"/>
      <c r="B987" s="186"/>
      <c r="C987" s="186"/>
    </row>
    <row r="988" spans="1:3" s="110" customFormat="1" ht="12.75">
      <c r="A988" s="484"/>
      <c r="B988" s="186"/>
      <c r="C988" s="186"/>
    </row>
    <row r="989" spans="1:3" s="110" customFormat="1" ht="12.75">
      <c r="A989" s="484"/>
      <c r="B989" s="186"/>
      <c r="C989" s="186"/>
    </row>
    <row r="990" spans="1:3" s="110" customFormat="1" ht="12.75">
      <c r="A990" s="484"/>
      <c r="B990" s="186"/>
      <c r="C990" s="186"/>
    </row>
    <row r="991" spans="1:3" s="110" customFormat="1" ht="12.75">
      <c r="A991" s="484"/>
      <c r="B991" s="186"/>
      <c r="C991" s="186"/>
    </row>
    <row r="992" spans="1:3" s="110" customFormat="1" ht="12.75">
      <c r="A992" s="484"/>
      <c r="B992" s="186"/>
      <c r="C992" s="186"/>
    </row>
    <row r="993" spans="1:3" s="110" customFormat="1" ht="12.75">
      <c r="A993" s="484"/>
      <c r="B993" s="186"/>
      <c r="C993" s="186"/>
    </row>
    <row r="994" spans="1:3" s="110" customFormat="1" ht="12.75">
      <c r="A994" s="484"/>
      <c r="B994" s="186"/>
      <c r="C994" s="186"/>
    </row>
    <row r="995" spans="1:3" s="110" customFormat="1" ht="12.75">
      <c r="A995" s="484"/>
      <c r="B995" s="186"/>
      <c r="C995" s="186"/>
    </row>
    <row r="996" spans="1:3" s="110" customFormat="1" ht="12.75">
      <c r="A996" s="484"/>
      <c r="B996" s="186"/>
      <c r="C996" s="186"/>
    </row>
    <row r="997" spans="1:3" s="110" customFormat="1" ht="12.75">
      <c r="A997" s="484"/>
      <c r="B997" s="186"/>
      <c r="C997" s="186"/>
    </row>
    <row r="998" spans="1:3" s="110" customFormat="1" ht="12.75">
      <c r="A998" s="484"/>
      <c r="B998" s="186"/>
      <c r="C998" s="186"/>
    </row>
    <row r="999" spans="1:3" s="110" customFormat="1" ht="12.75">
      <c r="A999" s="484"/>
      <c r="B999" s="186"/>
      <c r="C999" s="186"/>
    </row>
    <row r="1000" spans="1:3" s="110" customFormat="1" ht="12.75">
      <c r="A1000" s="484"/>
      <c r="B1000" s="186"/>
      <c r="C1000" s="186"/>
    </row>
    <row r="1001" spans="1:3" s="110" customFormat="1" ht="12.75">
      <c r="A1001" s="484"/>
      <c r="B1001" s="186"/>
      <c r="C1001" s="186"/>
    </row>
    <row r="1002" spans="1:3" s="110" customFormat="1" ht="12.75">
      <c r="A1002" s="484"/>
      <c r="B1002" s="186"/>
      <c r="C1002" s="186"/>
    </row>
    <row r="1003" spans="1:3" s="110" customFormat="1" ht="12.75">
      <c r="A1003" s="484"/>
      <c r="B1003" s="186"/>
      <c r="C1003" s="186"/>
    </row>
    <row r="1004" spans="1:3" s="110" customFormat="1" ht="12.75">
      <c r="A1004" s="484"/>
      <c r="B1004" s="186"/>
      <c r="C1004" s="186"/>
    </row>
    <row r="1005" spans="1:3" s="110" customFormat="1" ht="12.75">
      <c r="A1005" s="484"/>
      <c r="B1005" s="186"/>
      <c r="C1005" s="186"/>
    </row>
    <row r="1006" spans="1:3" s="110" customFormat="1" ht="12.75">
      <c r="A1006" s="484"/>
      <c r="B1006" s="186"/>
      <c r="C1006" s="186"/>
    </row>
    <row r="1007" spans="1:3" s="110" customFormat="1" ht="12.75">
      <c r="A1007" s="484"/>
      <c r="B1007" s="186"/>
      <c r="C1007" s="186"/>
    </row>
    <row r="1008" spans="1:3" s="110" customFormat="1" ht="12.75">
      <c r="A1008" s="484"/>
      <c r="B1008" s="186"/>
      <c r="C1008" s="186"/>
    </row>
    <row r="1009" spans="1:3" s="110" customFormat="1" ht="12.75">
      <c r="A1009" s="484"/>
      <c r="B1009" s="186"/>
      <c r="C1009" s="186"/>
    </row>
    <row r="1010" spans="1:3" s="110" customFormat="1" ht="12.75">
      <c r="A1010" s="484"/>
      <c r="B1010" s="186"/>
      <c r="C1010" s="186"/>
    </row>
    <row r="1011" spans="1:3" s="110" customFormat="1" ht="12.75">
      <c r="A1011" s="484"/>
      <c r="B1011" s="186"/>
      <c r="C1011" s="186"/>
    </row>
    <row r="1012" spans="1:3" s="110" customFormat="1" ht="12.75">
      <c r="A1012" s="484"/>
      <c r="B1012" s="186"/>
      <c r="C1012" s="186"/>
    </row>
    <row r="1013" spans="1:3" s="110" customFormat="1" ht="12.75">
      <c r="A1013" s="484"/>
      <c r="B1013" s="186"/>
      <c r="C1013" s="186"/>
    </row>
    <row r="1014" spans="1:3" s="110" customFormat="1" ht="12.75">
      <c r="A1014" s="484"/>
      <c r="B1014" s="186"/>
      <c r="C1014" s="186"/>
    </row>
    <row r="1015" spans="1:3" s="110" customFormat="1" ht="12.75">
      <c r="A1015" s="484"/>
      <c r="B1015" s="186"/>
      <c r="C1015" s="186"/>
    </row>
    <row r="1016" spans="1:3" s="110" customFormat="1" ht="12.75">
      <c r="A1016" s="484"/>
      <c r="B1016" s="186"/>
      <c r="C1016" s="186"/>
    </row>
    <row r="1017" spans="1:3" s="110" customFormat="1" ht="12.75">
      <c r="A1017" s="484"/>
      <c r="B1017" s="186"/>
      <c r="C1017" s="186"/>
    </row>
    <row r="1018" spans="1:3" s="110" customFormat="1" ht="12.75">
      <c r="A1018" s="484"/>
      <c r="B1018" s="186"/>
      <c r="C1018" s="186"/>
    </row>
    <row r="1019" spans="1:3" s="110" customFormat="1" ht="12.75">
      <c r="A1019" s="484"/>
      <c r="B1019" s="186"/>
      <c r="C1019" s="186"/>
    </row>
    <row r="1020" spans="1:3" s="110" customFormat="1" ht="12.75">
      <c r="A1020" s="484"/>
      <c r="B1020" s="186"/>
      <c r="C1020" s="186"/>
    </row>
    <row r="1021" spans="1:3" s="110" customFormat="1" ht="12.75">
      <c r="A1021" s="484"/>
      <c r="B1021" s="186"/>
      <c r="C1021" s="186"/>
    </row>
    <row r="1022" spans="1:3" s="110" customFormat="1" ht="12.75">
      <c r="A1022" s="484"/>
      <c r="B1022" s="186"/>
      <c r="C1022" s="186"/>
    </row>
    <row r="1023" spans="1:3" s="110" customFormat="1" ht="12.75">
      <c r="A1023" s="484"/>
      <c r="B1023" s="186"/>
      <c r="C1023" s="186"/>
    </row>
    <row r="1024" spans="1:3" s="110" customFormat="1" ht="12.75">
      <c r="A1024" s="484"/>
      <c r="B1024" s="186"/>
      <c r="C1024" s="186"/>
    </row>
    <row r="1025" spans="1:3" s="110" customFormat="1" ht="12.75">
      <c r="A1025" s="484"/>
      <c r="B1025" s="186"/>
      <c r="C1025" s="186"/>
    </row>
    <row r="1026" spans="1:3" s="110" customFormat="1" ht="12.75">
      <c r="A1026" s="484"/>
      <c r="B1026" s="186"/>
      <c r="C1026" s="186"/>
    </row>
    <row r="1027" spans="1:3" s="110" customFormat="1" ht="12.75">
      <c r="A1027" s="484"/>
      <c r="B1027" s="186"/>
      <c r="C1027" s="186"/>
    </row>
    <row r="1028" spans="1:3" s="110" customFormat="1" ht="12.75">
      <c r="A1028" s="484"/>
      <c r="B1028" s="186"/>
      <c r="C1028" s="186"/>
    </row>
    <row r="1029" spans="1:3" s="110" customFormat="1" ht="12.75">
      <c r="A1029" s="484"/>
      <c r="B1029" s="186"/>
      <c r="C1029" s="186"/>
    </row>
    <row r="1030" spans="1:3" s="110" customFormat="1" ht="12.75">
      <c r="A1030" s="484"/>
      <c r="B1030" s="186"/>
      <c r="C1030" s="186"/>
    </row>
    <row r="1031" spans="1:3" s="110" customFormat="1" ht="12.75">
      <c r="A1031" s="484"/>
      <c r="B1031" s="186"/>
      <c r="C1031" s="186"/>
    </row>
    <row r="1032" spans="1:3" s="110" customFormat="1" ht="12.75">
      <c r="A1032" s="484"/>
      <c r="B1032" s="186"/>
      <c r="C1032" s="186"/>
    </row>
    <row r="1033" spans="1:3" s="110" customFormat="1" ht="12.75">
      <c r="A1033" s="484"/>
      <c r="B1033" s="186"/>
      <c r="C1033" s="186"/>
    </row>
    <row r="1034" spans="1:3" s="110" customFormat="1" ht="12.75">
      <c r="A1034" s="484"/>
      <c r="B1034" s="186"/>
      <c r="C1034" s="186"/>
    </row>
    <row r="1035" spans="1:3" s="110" customFormat="1" ht="12.75">
      <c r="A1035" s="484"/>
      <c r="B1035" s="186"/>
      <c r="C1035" s="186"/>
    </row>
    <row r="1036" spans="1:3" s="110" customFormat="1" ht="12.75">
      <c r="A1036" s="484"/>
      <c r="B1036" s="186"/>
      <c r="C1036" s="186"/>
    </row>
    <row r="1037" spans="1:3" s="110" customFormat="1" ht="12.75">
      <c r="A1037" s="484"/>
      <c r="B1037" s="186"/>
      <c r="C1037" s="186"/>
    </row>
    <row r="1038" spans="1:3" s="110" customFormat="1" ht="12.75">
      <c r="A1038" s="484"/>
      <c r="B1038" s="186"/>
      <c r="C1038" s="186"/>
    </row>
    <row r="1039" spans="1:3" s="110" customFormat="1" ht="12.75">
      <c r="A1039" s="484"/>
      <c r="B1039" s="186"/>
      <c r="C1039" s="186"/>
    </row>
    <row r="1040" spans="1:3" s="110" customFormat="1" ht="12.75">
      <c r="A1040" s="484"/>
      <c r="B1040" s="186"/>
      <c r="C1040" s="186"/>
    </row>
    <row r="1041" spans="1:3" s="110" customFormat="1" ht="12.75">
      <c r="A1041" s="484"/>
      <c r="B1041" s="186"/>
      <c r="C1041" s="186"/>
    </row>
    <row r="1042" spans="1:3" s="110" customFormat="1" ht="12.75">
      <c r="A1042" s="484"/>
      <c r="B1042" s="186"/>
      <c r="C1042" s="186"/>
    </row>
    <row r="1043" spans="1:3" s="110" customFormat="1" ht="12.75">
      <c r="A1043" s="484"/>
      <c r="B1043" s="186"/>
      <c r="C1043" s="186"/>
    </row>
    <row r="1044" spans="1:3" s="110" customFormat="1" ht="12.75">
      <c r="A1044" s="484"/>
      <c r="B1044" s="186"/>
      <c r="C1044" s="186"/>
    </row>
    <row r="1045" spans="1:3" s="110" customFormat="1" ht="12.75">
      <c r="A1045" s="484"/>
      <c r="B1045" s="186"/>
      <c r="C1045" s="186"/>
    </row>
    <row r="1046" spans="1:3" s="110" customFormat="1" ht="12.75">
      <c r="A1046" s="484"/>
      <c r="B1046" s="186"/>
      <c r="C1046" s="186"/>
    </row>
    <row r="1047" spans="1:3" s="110" customFormat="1" ht="12.75">
      <c r="A1047" s="484"/>
      <c r="B1047" s="186"/>
      <c r="C1047" s="186"/>
    </row>
    <row r="1048" spans="1:3" s="110" customFormat="1" ht="12.75">
      <c r="A1048" s="484"/>
      <c r="B1048" s="186"/>
      <c r="C1048" s="186"/>
    </row>
    <row r="1049" spans="1:3" s="110" customFormat="1" ht="12.75">
      <c r="A1049" s="484"/>
      <c r="B1049" s="186"/>
      <c r="C1049" s="186"/>
    </row>
    <row r="1050" spans="1:3" s="110" customFormat="1" ht="12.75">
      <c r="A1050" s="484"/>
      <c r="B1050" s="186"/>
      <c r="C1050" s="186"/>
    </row>
    <row r="1051" spans="1:3" s="110" customFormat="1" ht="12.75">
      <c r="A1051" s="484"/>
      <c r="B1051" s="186"/>
      <c r="C1051" s="186"/>
    </row>
    <row r="1052" spans="1:3" s="110" customFormat="1" ht="12.75">
      <c r="A1052" s="484"/>
      <c r="B1052" s="186"/>
      <c r="C1052" s="186"/>
    </row>
    <row r="1053" spans="1:3" s="110" customFormat="1" ht="12.75">
      <c r="A1053" s="484"/>
      <c r="B1053" s="186"/>
      <c r="C1053" s="186"/>
    </row>
    <row r="1054" spans="1:3" s="110" customFormat="1" ht="12.75">
      <c r="A1054" s="484"/>
      <c r="B1054" s="186"/>
      <c r="C1054" s="186"/>
    </row>
    <row r="1055" spans="1:3" s="110" customFormat="1" ht="12.75">
      <c r="A1055" s="484"/>
      <c r="B1055" s="186"/>
      <c r="C1055" s="186"/>
    </row>
    <row r="1056" spans="1:3" s="110" customFormat="1" ht="12.75">
      <c r="A1056" s="484"/>
      <c r="B1056" s="186"/>
      <c r="C1056" s="186"/>
    </row>
    <row r="1057" spans="1:3" s="110" customFormat="1" ht="12.75">
      <c r="A1057" s="484"/>
      <c r="B1057" s="186"/>
      <c r="C1057" s="186"/>
    </row>
    <row r="1058" spans="1:3" s="110" customFormat="1" ht="12.75">
      <c r="A1058" s="484"/>
      <c r="B1058" s="186"/>
      <c r="C1058" s="186"/>
    </row>
    <row r="1059" spans="1:3" s="110" customFormat="1" ht="12.75">
      <c r="A1059" s="484"/>
      <c r="B1059" s="186"/>
      <c r="C1059" s="186"/>
    </row>
    <row r="1060" spans="1:3" s="110" customFormat="1" ht="12.75">
      <c r="A1060" s="484"/>
      <c r="B1060" s="186"/>
      <c r="C1060" s="186"/>
    </row>
    <row r="1061" spans="1:3" s="110" customFormat="1" ht="12.75">
      <c r="A1061" s="484"/>
      <c r="B1061" s="186"/>
      <c r="C1061" s="186"/>
    </row>
    <row r="1062" spans="1:3" s="110" customFormat="1" ht="12.75">
      <c r="A1062" s="484"/>
      <c r="B1062" s="186"/>
      <c r="C1062" s="186"/>
    </row>
    <row r="1063" spans="1:3" s="110" customFormat="1" ht="12.75">
      <c r="A1063" s="484"/>
      <c r="B1063" s="186"/>
      <c r="C1063" s="186"/>
    </row>
    <row r="1064" spans="1:3" s="110" customFormat="1" ht="12.75">
      <c r="A1064" s="484"/>
      <c r="B1064" s="186"/>
      <c r="C1064" s="186"/>
    </row>
    <row r="1065" spans="1:3" s="110" customFormat="1" ht="12.75">
      <c r="A1065" s="484"/>
      <c r="B1065" s="186"/>
      <c r="C1065" s="186"/>
    </row>
    <row r="1066" spans="1:3" s="110" customFormat="1" ht="12.75">
      <c r="A1066" s="484"/>
      <c r="B1066" s="186"/>
      <c r="C1066" s="186"/>
    </row>
    <row r="1067" spans="1:3" s="110" customFormat="1" ht="12.75">
      <c r="A1067" s="484"/>
      <c r="B1067" s="186"/>
      <c r="C1067" s="186"/>
    </row>
    <row r="1068" spans="1:3" s="110" customFormat="1" ht="12.75">
      <c r="A1068" s="484"/>
      <c r="B1068" s="186"/>
      <c r="C1068" s="186"/>
    </row>
    <row r="1069" spans="1:3" s="110" customFormat="1" ht="12.75">
      <c r="A1069" s="484"/>
      <c r="B1069" s="186"/>
      <c r="C1069" s="186"/>
    </row>
    <row r="1070" spans="1:3" s="110" customFormat="1" ht="12.75">
      <c r="A1070" s="484"/>
      <c r="B1070" s="186"/>
      <c r="C1070" s="186"/>
    </row>
    <row r="1071" spans="1:3" s="110" customFormat="1" ht="12.75">
      <c r="A1071" s="484"/>
      <c r="B1071" s="186"/>
      <c r="C1071" s="186"/>
    </row>
    <row r="1072" spans="1:3" s="110" customFormat="1" ht="12.75">
      <c r="A1072" s="484"/>
      <c r="B1072" s="186"/>
      <c r="C1072" s="186"/>
    </row>
    <row r="1073" spans="1:3" s="110" customFormat="1" ht="12.75">
      <c r="A1073" s="484"/>
      <c r="B1073" s="186"/>
      <c r="C1073" s="186"/>
    </row>
    <row r="1074" spans="1:3" s="110" customFormat="1" ht="12.75">
      <c r="A1074" s="484"/>
      <c r="B1074" s="186"/>
      <c r="C1074" s="186"/>
    </row>
    <row r="1075" spans="1:3" s="110" customFormat="1" ht="12.75">
      <c r="A1075" s="484"/>
      <c r="B1075" s="186"/>
      <c r="C1075" s="186"/>
    </row>
    <row r="1076" spans="1:3" s="110" customFormat="1" ht="12.75">
      <c r="A1076" s="484"/>
      <c r="B1076" s="186"/>
      <c r="C1076" s="186"/>
    </row>
    <row r="1077" spans="1:3" s="110" customFormat="1" ht="12.75">
      <c r="A1077" s="484"/>
      <c r="B1077" s="186"/>
      <c r="C1077" s="186"/>
    </row>
    <row r="1078" spans="1:3" s="110" customFormat="1" ht="12.75">
      <c r="A1078" s="484"/>
      <c r="B1078" s="186"/>
      <c r="C1078" s="186"/>
    </row>
    <row r="1079" spans="1:3" s="110" customFormat="1" ht="12.75">
      <c r="A1079" s="484"/>
      <c r="B1079" s="186"/>
      <c r="C1079" s="186"/>
    </row>
    <row r="1080" spans="1:3" s="110" customFormat="1" ht="12.75">
      <c r="A1080" s="484"/>
      <c r="B1080" s="186"/>
      <c r="C1080" s="186"/>
    </row>
    <row r="1081" spans="1:3" s="110" customFormat="1" ht="12.75">
      <c r="A1081" s="484"/>
      <c r="B1081" s="186"/>
      <c r="C1081" s="186"/>
    </row>
    <row r="1082" spans="1:3" s="110" customFormat="1" ht="12.75">
      <c r="A1082" s="484"/>
      <c r="B1082" s="186"/>
      <c r="C1082" s="186"/>
    </row>
    <row r="1083" spans="1:3" s="110" customFormat="1" ht="12.75">
      <c r="A1083" s="484"/>
      <c r="B1083" s="186"/>
      <c r="C1083" s="186"/>
    </row>
    <row r="1084" spans="1:3" s="110" customFormat="1" ht="12.75">
      <c r="A1084" s="484"/>
      <c r="B1084" s="186"/>
      <c r="C1084" s="186"/>
    </row>
    <row r="1085" spans="1:3" s="110" customFormat="1" ht="12.75">
      <c r="A1085" s="484"/>
      <c r="B1085" s="186"/>
      <c r="C1085" s="186"/>
    </row>
    <row r="1086" spans="1:3" s="110" customFormat="1" ht="12.75">
      <c r="A1086" s="484"/>
      <c r="B1086" s="186"/>
      <c r="C1086" s="186"/>
    </row>
    <row r="1087" spans="1:3" s="110" customFormat="1" ht="12.75">
      <c r="A1087" s="484"/>
      <c r="B1087" s="186"/>
      <c r="C1087" s="186"/>
    </row>
    <row r="1088" spans="1:3" s="110" customFormat="1" ht="12.75">
      <c r="A1088" s="484"/>
      <c r="B1088" s="186"/>
      <c r="C1088" s="186"/>
    </row>
    <row r="1089" spans="1:3" s="110" customFormat="1" ht="12.75">
      <c r="A1089" s="484"/>
      <c r="B1089" s="186"/>
      <c r="C1089" s="186"/>
    </row>
    <row r="1090" spans="1:3" s="110" customFormat="1" ht="12.75">
      <c r="A1090" s="484"/>
      <c r="B1090" s="186"/>
      <c r="C1090" s="186"/>
    </row>
    <row r="1091" spans="1:3" s="110" customFormat="1" ht="12.75">
      <c r="A1091" s="484"/>
      <c r="B1091" s="186"/>
      <c r="C1091" s="186"/>
    </row>
    <row r="1092" spans="1:3" s="110" customFormat="1" ht="12.75">
      <c r="A1092" s="484"/>
      <c r="B1092" s="186"/>
      <c r="C1092" s="186"/>
    </row>
    <row r="1093" spans="1:3" s="110" customFormat="1" ht="12.75">
      <c r="A1093" s="484"/>
      <c r="B1093" s="186"/>
      <c r="C1093" s="186"/>
    </row>
    <row r="1094" spans="1:3" s="110" customFormat="1" ht="12.75">
      <c r="A1094" s="484"/>
      <c r="B1094" s="186"/>
      <c r="C1094" s="186"/>
    </row>
    <row r="1095" spans="1:3" s="110" customFormat="1" ht="12.75">
      <c r="A1095" s="484"/>
      <c r="B1095" s="186"/>
      <c r="C1095" s="186"/>
    </row>
    <row r="1096" spans="1:3" s="110" customFormat="1" ht="12.75">
      <c r="A1096" s="484"/>
      <c r="B1096" s="186"/>
      <c r="C1096" s="186"/>
    </row>
    <row r="1097" spans="1:3" s="110" customFormat="1" ht="12.75">
      <c r="A1097" s="484"/>
      <c r="B1097" s="186"/>
      <c r="C1097" s="186"/>
    </row>
    <row r="1098" spans="1:3" s="110" customFormat="1" ht="12.75">
      <c r="A1098" s="484"/>
      <c r="B1098" s="186"/>
      <c r="C1098" s="186"/>
    </row>
    <row r="1099" spans="1:3" s="110" customFormat="1" ht="12.75">
      <c r="A1099" s="484"/>
      <c r="B1099" s="186"/>
      <c r="C1099" s="186"/>
    </row>
    <row r="1100" spans="1:3" s="110" customFormat="1" ht="12.75">
      <c r="A1100" s="484"/>
      <c r="B1100" s="186"/>
      <c r="C1100" s="186"/>
    </row>
    <row r="1101" spans="1:3" s="110" customFormat="1" ht="12.75">
      <c r="A1101" s="484"/>
      <c r="B1101" s="186"/>
      <c r="C1101" s="186"/>
    </row>
    <row r="1102" spans="1:3" s="110" customFormat="1" ht="12.75">
      <c r="A1102" s="484"/>
      <c r="B1102" s="186"/>
      <c r="C1102" s="186"/>
    </row>
    <row r="1103" spans="1:3" s="110" customFormat="1" ht="12.75">
      <c r="A1103" s="484"/>
      <c r="B1103" s="186"/>
      <c r="C1103" s="186"/>
    </row>
    <row r="1104" spans="1:3" s="110" customFormat="1" ht="12.75">
      <c r="A1104" s="484"/>
      <c r="B1104" s="186"/>
      <c r="C1104" s="186"/>
    </row>
    <row r="1105" spans="1:3" s="110" customFormat="1" ht="12.75">
      <c r="A1105" s="484"/>
      <c r="B1105" s="186"/>
      <c r="C1105" s="186"/>
    </row>
    <row r="1106" spans="1:3" s="110" customFormat="1" ht="12.75">
      <c r="A1106" s="484"/>
      <c r="B1106" s="186"/>
      <c r="C1106" s="186"/>
    </row>
    <row r="1107" spans="1:3" s="110" customFormat="1" ht="12.75">
      <c r="A1107" s="484"/>
      <c r="B1107" s="186"/>
      <c r="C1107" s="186"/>
    </row>
    <row r="1108" spans="1:3" s="110" customFormat="1" ht="12.75">
      <c r="A1108" s="484"/>
      <c r="B1108" s="186"/>
      <c r="C1108" s="186"/>
    </row>
    <row r="1109" spans="1:3" s="110" customFormat="1" ht="12.75">
      <c r="A1109" s="484"/>
      <c r="B1109" s="186"/>
      <c r="C1109" s="186"/>
    </row>
    <row r="1110" spans="1:3" s="110" customFormat="1" ht="12.75">
      <c r="A1110" s="484"/>
      <c r="B1110" s="186"/>
      <c r="C1110" s="186"/>
    </row>
    <row r="1111" spans="1:3" s="110" customFormat="1" ht="12.75">
      <c r="A1111" s="484"/>
      <c r="B1111" s="186"/>
      <c r="C1111" s="186"/>
    </row>
    <row r="1112" spans="1:3" s="110" customFormat="1" ht="12.75">
      <c r="A1112" s="484"/>
      <c r="B1112" s="186"/>
      <c r="C1112" s="186"/>
    </row>
    <row r="1113" spans="1:3" s="110" customFormat="1" ht="12.75">
      <c r="A1113" s="484"/>
      <c r="B1113" s="186"/>
      <c r="C1113" s="186"/>
    </row>
    <row r="1114" spans="1:3" s="110" customFormat="1" ht="12.75">
      <c r="A1114" s="484"/>
      <c r="B1114" s="186"/>
      <c r="C1114" s="186"/>
    </row>
    <row r="1115" spans="1:3" s="110" customFormat="1" ht="12.75">
      <c r="A1115" s="484"/>
      <c r="B1115" s="186"/>
      <c r="C1115" s="186"/>
    </row>
    <row r="1116" spans="1:3" s="110" customFormat="1" ht="12.75">
      <c r="A1116" s="484"/>
      <c r="B1116" s="186"/>
      <c r="C1116" s="186"/>
    </row>
    <row r="1117" spans="1:3" s="110" customFormat="1" ht="12.75">
      <c r="A1117" s="484"/>
      <c r="B1117" s="186"/>
      <c r="C1117" s="186"/>
    </row>
    <row r="1118" spans="1:3" s="110" customFormat="1" ht="12.75">
      <c r="A1118" s="484"/>
      <c r="B1118" s="186"/>
      <c r="C1118" s="186"/>
    </row>
    <row r="1119" spans="1:3" s="110" customFormat="1" ht="12.75">
      <c r="A1119" s="484"/>
      <c r="B1119" s="186"/>
      <c r="C1119" s="186"/>
    </row>
    <row r="1120" spans="1:3" s="110" customFormat="1" ht="12.75">
      <c r="A1120" s="484"/>
      <c r="B1120" s="186"/>
      <c r="C1120" s="186"/>
    </row>
    <row r="1121" spans="1:3" s="110" customFormat="1" ht="12.75">
      <c r="A1121" s="484"/>
      <c r="B1121" s="186"/>
      <c r="C1121" s="186"/>
    </row>
    <row r="1122" spans="1:3" s="110" customFormat="1" ht="12.75">
      <c r="A1122" s="484"/>
      <c r="B1122" s="186"/>
      <c r="C1122" s="186"/>
    </row>
    <row r="1123" spans="1:3" s="110" customFormat="1" ht="12.75">
      <c r="A1123" s="484"/>
      <c r="B1123" s="186"/>
      <c r="C1123" s="186"/>
    </row>
    <row r="1124" spans="1:3" s="110" customFormat="1" ht="12.75">
      <c r="A1124" s="484"/>
      <c r="B1124" s="186"/>
      <c r="C1124" s="186"/>
    </row>
    <row r="1125" spans="1:3" s="110" customFormat="1" ht="12.75">
      <c r="A1125" s="484"/>
      <c r="B1125" s="186"/>
      <c r="C1125" s="186"/>
    </row>
    <row r="1126" spans="1:3" s="110" customFormat="1" ht="12.75">
      <c r="A1126" s="484"/>
      <c r="B1126" s="186"/>
      <c r="C1126" s="186"/>
    </row>
    <row r="1127" spans="1:3" s="110" customFormat="1" ht="12.75">
      <c r="A1127" s="484"/>
      <c r="B1127" s="186"/>
      <c r="C1127" s="186"/>
    </row>
    <row r="1128" spans="1:3" s="110" customFormat="1" ht="12.75">
      <c r="A1128" s="484"/>
      <c r="B1128" s="186"/>
      <c r="C1128" s="186"/>
    </row>
    <row r="1129" spans="1:3" s="110" customFormat="1" ht="12.75">
      <c r="A1129" s="484"/>
      <c r="B1129" s="186"/>
      <c r="C1129" s="186"/>
    </row>
    <row r="1130" spans="1:3" s="110" customFormat="1" ht="12.75">
      <c r="A1130" s="484"/>
      <c r="B1130" s="186"/>
      <c r="C1130" s="186"/>
    </row>
    <row r="1131" spans="1:3" s="110" customFormat="1" ht="12.75">
      <c r="A1131" s="484"/>
      <c r="B1131" s="186"/>
      <c r="C1131" s="186"/>
    </row>
    <row r="1132" spans="1:3" s="110" customFormat="1" ht="12.75">
      <c r="A1132" s="484"/>
      <c r="B1132" s="186"/>
      <c r="C1132" s="186"/>
    </row>
    <row r="1133" spans="1:3" s="110" customFormat="1" ht="12.75">
      <c r="A1133" s="484"/>
      <c r="B1133" s="186"/>
      <c r="C1133" s="186"/>
    </row>
    <row r="1134" spans="1:3" s="110" customFormat="1" ht="12.75">
      <c r="A1134" s="484"/>
      <c r="B1134" s="186"/>
      <c r="C1134" s="186"/>
    </row>
    <row r="1135" spans="1:3" s="110" customFormat="1" ht="12.75">
      <c r="A1135" s="484"/>
      <c r="B1135" s="186"/>
      <c r="C1135" s="186"/>
    </row>
    <row r="1136" spans="1:3" s="110" customFormat="1" ht="12.75">
      <c r="A1136" s="484"/>
      <c r="B1136" s="186"/>
      <c r="C1136" s="186"/>
    </row>
    <row r="1137" spans="1:3" s="110" customFormat="1" ht="12.75">
      <c r="A1137" s="484"/>
      <c r="B1137" s="186"/>
      <c r="C1137" s="186"/>
    </row>
    <row r="1138" spans="1:3" s="110" customFormat="1" ht="12.75">
      <c r="A1138" s="484"/>
      <c r="B1138" s="186"/>
      <c r="C1138" s="186"/>
    </row>
    <row r="1139" spans="1:3" s="110" customFormat="1" ht="12.75">
      <c r="A1139" s="484"/>
      <c r="B1139" s="186"/>
      <c r="C1139" s="186"/>
    </row>
    <row r="1140" spans="1:3" s="110" customFormat="1" ht="12.75">
      <c r="A1140" s="484"/>
      <c r="B1140" s="186"/>
      <c r="C1140" s="186"/>
    </row>
    <row r="1141" spans="1:3" s="110" customFormat="1" ht="12.75">
      <c r="A1141" s="484"/>
      <c r="B1141" s="186"/>
      <c r="C1141" s="186"/>
    </row>
    <row r="1142" spans="1:3" s="110" customFormat="1" ht="12.75">
      <c r="A1142" s="484"/>
      <c r="B1142" s="186"/>
      <c r="C1142" s="186"/>
    </row>
    <row r="1143" spans="1:3" s="110" customFormat="1" ht="12.75">
      <c r="A1143" s="484"/>
      <c r="B1143" s="186"/>
      <c r="C1143" s="186"/>
    </row>
    <row r="1144" spans="1:3" s="110" customFormat="1" ht="12.75">
      <c r="A1144" s="484"/>
      <c r="B1144" s="186"/>
      <c r="C1144" s="186"/>
    </row>
    <row r="1145" spans="1:3" s="110" customFormat="1" ht="12.75">
      <c r="A1145" s="484"/>
      <c r="B1145" s="186"/>
      <c r="C1145" s="186"/>
    </row>
    <row r="1146" spans="1:3" s="110" customFormat="1" ht="12.75">
      <c r="A1146" s="484"/>
      <c r="B1146" s="186"/>
      <c r="C1146" s="186"/>
    </row>
    <row r="1147" spans="1:3" s="110" customFormat="1" ht="12.75">
      <c r="A1147" s="484"/>
      <c r="B1147" s="186"/>
      <c r="C1147" s="186"/>
    </row>
    <row r="1148" spans="1:3" s="110" customFormat="1" ht="12.75">
      <c r="A1148" s="484"/>
      <c r="B1148" s="186"/>
      <c r="C1148" s="186"/>
    </row>
    <row r="1149" spans="1:3" s="110" customFormat="1" ht="12.75">
      <c r="A1149" s="484"/>
      <c r="B1149" s="186"/>
      <c r="C1149" s="186"/>
    </row>
    <row r="1150" spans="1:3" s="110" customFormat="1" ht="12.75">
      <c r="A1150" s="484"/>
      <c r="B1150" s="186"/>
      <c r="C1150" s="186"/>
    </row>
    <row r="1151" spans="1:3" s="110" customFormat="1" ht="12.75">
      <c r="A1151" s="484"/>
      <c r="B1151" s="186"/>
      <c r="C1151" s="186"/>
    </row>
    <row r="1152" spans="1:3" s="110" customFormat="1" ht="12.75">
      <c r="A1152" s="484"/>
      <c r="B1152" s="186"/>
      <c r="C1152" s="186"/>
    </row>
    <row r="1153" spans="1:3" s="110" customFormat="1" ht="12.75">
      <c r="A1153" s="484"/>
      <c r="B1153" s="186"/>
      <c r="C1153" s="186"/>
    </row>
    <row r="1154" spans="1:3" s="110" customFormat="1" ht="12.75">
      <c r="A1154" s="484"/>
      <c r="B1154" s="186"/>
      <c r="C1154" s="186"/>
    </row>
    <row r="1155" spans="1:3" s="110" customFormat="1" ht="12.75">
      <c r="A1155" s="484"/>
      <c r="B1155" s="186"/>
      <c r="C1155" s="186"/>
    </row>
    <row r="1156" spans="1:3" s="110" customFormat="1" ht="12.75">
      <c r="A1156" s="484"/>
      <c r="B1156" s="186"/>
      <c r="C1156" s="186"/>
    </row>
    <row r="1157" spans="1:3" s="110" customFormat="1" ht="12.75">
      <c r="A1157" s="484"/>
      <c r="B1157" s="186"/>
      <c r="C1157" s="186"/>
    </row>
    <row r="1158" spans="1:3" s="110" customFormat="1" ht="12.75">
      <c r="A1158" s="484"/>
      <c r="B1158" s="186"/>
      <c r="C1158" s="186"/>
    </row>
    <row r="1159" spans="1:3" s="110" customFormat="1" ht="12.75">
      <c r="A1159" s="484"/>
      <c r="B1159" s="186"/>
      <c r="C1159" s="186"/>
    </row>
    <row r="1160" spans="1:3" s="110" customFormat="1" ht="12.75">
      <c r="A1160" s="484"/>
      <c r="B1160" s="186"/>
      <c r="C1160" s="186"/>
    </row>
    <row r="1161" spans="1:3" s="110" customFormat="1" ht="12.75">
      <c r="A1161" s="484"/>
      <c r="B1161" s="186"/>
      <c r="C1161" s="186"/>
    </row>
    <row r="1162" spans="1:3" s="110" customFormat="1" ht="12.75">
      <c r="A1162" s="484"/>
      <c r="B1162" s="186"/>
      <c r="C1162" s="186"/>
    </row>
    <row r="1163" spans="1:3" s="110" customFormat="1" ht="12.75">
      <c r="A1163" s="484"/>
      <c r="B1163" s="186"/>
      <c r="C1163" s="186"/>
    </row>
    <row r="1164" spans="1:3" s="110" customFormat="1" ht="12.75">
      <c r="A1164" s="484"/>
      <c r="B1164" s="186"/>
      <c r="C1164" s="186"/>
    </row>
    <row r="1165" spans="1:3" s="110" customFormat="1" ht="12.75">
      <c r="A1165" s="484"/>
      <c r="B1165" s="186"/>
      <c r="C1165" s="186"/>
    </row>
    <row r="1166" spans="1:3" s="110" customFormat="1" ht="12.75">
      <c r="A1166" s="484"/>
      <c r="B1166" s="186"/>
      <c r="C1166" s="186"/>
    </row>
    <row r="1167" spans="1:3" s="110" customFormat="1" ht="12.75">
      <c r="A1167" s="484"/>
      <c r="B1167" s="186"/>
      <c r="C1167" s="186"/>
    </row>
    <row r="1168" spans="1:3" s="110" customFormat="1" ht="12.75">
      <c r="A1168" s="484"/>
      <c r="B1168" s="186"/>
      <c r="C1168" s="186"/>
    </row>
    <row r="1169" spans="1:3" s="110" customFormat="1" ht="12.75">
      <c r="A1169" s="484"/>
      <c r="B1169" s="186"/>
      <c r="C1169" s="186"/>
    </row>
    <row r="1170" spans="1:3" s="110" customFormat="1" ht="12.75">
      <c r="A1170" s="484"/>
      <c r="B1170" s="186"/>
      <c r="C1170" s="186"/>
    </row>
    <row r="1171" spans="1:3" s="110" customFormat="1" ht="12.75">
      <c r="A1171" s="484"/>
      <c r="B1171" s="186"/>
      <c r="C1171" s="186"/>
    </row>
    <row r="1172" spans="1:3" s="110" customFormat="1" ht="12.75">
      <c r="A1172" s="484"/>
      <c r="B1172" s="186"/>
      <c r="C1172" s="186"/>
    </row>
    <row r="1173" spans="1:3" s="110" customFormat="1" ht="12.75">
      <c r="A1173" s="484"/>
      <c r="B1173" s="186"/>
      <c r="C1173" s="186"/>
    </row>
    <row r="1174" spans="1:3" s="110" customFormat="1" ht="12.75">
      <c r="A1174" s="484"/>
      <c r="B1174" s="186"/>
      <c r="C1174" s="186"/>
    </row>
    <row r="1175" spans="1:3" s="110" customFormat="1" ht="12.75">
      <c r="A1175" s="484"/>
      <c r="B1175" s="186"/>
      <c r="C1175" s="186"/>
    </row>
    <row r="1176" spans="1:3" s="110" customFormat="1" ht="12.75">
      <c r="A1176" s="484"/>
      <c r="B1176" s="186"/>
      <c r="C1176" s="186"/>
    </row>
    <row r="1177" spans="1:3" s="110" customFormat="1" ht="12.75">
      <c r="A1177" s="484"/>
      <c r="B1177" s="186"/>
      <c r="C1177" s="186"/>
    </row>
    <row r="1178" spans="1:3" s="110" customFormat="1" ht="12.75">
      <c r="A1178" s="484"/>
      <c r="B1178" s="186"/>
      <c r="C1178" s="186"/>
    </row>
    <row r="1179" spans="1:3" s="110" customFormat="1" ht="12.75">
      <c r="A1179" s="484"/>
      <c r="B1179" s="186"/>
      <c r="C1179" s="186"/>
    </row>
    <row r="1180" spans="1:3" s="110" customFormat="1" ht="12.75">
      <c r="A1180" s="484"/>
      <c r="B1180" s="186"/>
      <c r="C1180" s="186"/>
    </row>
    <row r="1181" spans="1:3" s="110" customFormat="1" ht="12.75">
      <c r="A1181" s="484"/>
      <c r="B1181" s="186"/>
      <c r="C1181" s="186"/>
    </row>
    <row r="1182" spans="1:3" s="110" customFormat="1" ht="12.75">
      <c r="A1182" s="484"/>
      <c r="B1182" s="186"/>
      <c r="C1182" s="186"/>
    </row>
    <row r="1183" spans="1:3" s="110" customFormat="1" ht="12.75">
      <c r="A1183" s="484"/>
      <c r="B1183" s="186"/>
      <c r="C1183" s="186"/>
    </row>
    <row r="1184" spans="1:3" s="110" customFormat="1" ht="12.75">
      <c r="A1184" s="484"/>
      <c r="B1184" s="186"/>
      <c r="C1184" s="186"/>
    </row>
    <row r="1185" spans="1:3" s="110" customFormat="1" ht="12.75">
      <c r="A1185" s="484"/>
      <c r="B1185" s="186"/>
      <c r="C1185" s="186"/>
    </row>
    <row r="1186" spans="1:3" s="110" customFormat="1" ht="12.75">
      <c r="A1186" s="484"/>
      <c r="B1186" s="186"/>
      <c r="C1186" s="186"/>
    </row>
    <row r="1187" spans="1:3" s="110" customFormat="1" ht="12.75">
      <c r="A1187" s="484"/>
      <c r="B1187" s="186"/>
      <c r="C1187" s="186"/>
    </row>
    <row r="1188" spans="1:3" s="110" customFormat="1" ht="12.75">
      <c r="A1188" s="484"/>
      <c r="B1188" s="186"/>
      <c r="C1188" s="186"/>
    </row>
    <row r="1189" spans="1:3" s="110" customFormat="1" ht="12.75">
      <c r="A1189" s="484"/>
      <c r="B1189" s="186"/>
      <c r="C1189" s="186"/>
    </row>
    <row r="1190" spans="1:3" s="110" customFormat="1" ht="12.75">
      <c r="A1190" s="484"/>
      <c r="B1190" s="186"/>
      <c r="C1190" s="186"/>
    </row>
    <row r="1191" spans="1:3" s="110" customFormat="1" ht="12.75">
      <c r="A1191" s="484"/>
      <c r="B1191" s="186"/>
      <c r="C1191" s="186"/>
    </row>
    <row r="1192" spans="1:3" s="110" customFormat="1" ht="12.75">
      <c r="A1192" s="484"/>
      <c r="B1192" s="186"/>
      <c r="C1192" s="186"/>
    </row>
    <row r="1193" spans="1:3" s="110" customFormat="1" ht="12.75">
      <c r="A1193" s="484"/>
      <c r="B1193" s="186"/>
      <c r="C1193" s="186"/>
    </row>
    <row r="1194" spans="1:3" s="110" customFormat="1" ht="12.75">
      <c r="A1194" s="484"/>
      <c r="B1194" s="186"/>
      <c r="C1194" s="186"/>
    </row>
    <row r="1195" spans="1:3" s="110" customFormat="1" ht="12.75">
      <c r="A1195" s="484"/>
      <c r="B1195" s="186"/>
      <c r="C1195" s="186"/>
    </row>
    <row r="1196" spans="1:3" s="110" customFormat="1" ht="12.75">
      <c r="A1196" s="484"/>
      <c r="B1196" s="186"/>
      <c r="C1196" s="186"/>
    </row>
    <row r="1197" spans="1:3" s="110" customFormat="1" ht="12.75">
      <c r="A1197" s="484"/>
      <c r="B1197" s="186"/>
      <c r="C1197" s="186"/>
    </row>
    <row r="1198" spans="1:3" s="110" customFormat="1" ht="12.75">
      <c r="A1198" s="484"/>
      <c r="B1198" s="186"/>
      <c r="C1198" s="186"/>
    </row>
    <row r="1199" spans="1:3" s="110" customFormat="1" ht="12.75">
      <c r="A1199" s="484"/>
      <c r="B1199" s="186"/>
      <c r="C1199" s="186"/>
    </row>
    <row r="1200" spans="1:3" s="110" customFormat="1" ht="12.75">
      <c r="A1200" s="484"/>
      <c r="B1200" s="186"/>
      <c r="C1200" s="186"/>
    </row>
    <row r="1201" spans="1:3" s="110" customFormat="1" ht="12.75">
      <c r="A1201" s="484"/>
      <c r="B1201" s="186"/>
      <c r="C1201" s="186"/>
    </row>
    <row r="1202" spans="1:3" s="110" customFormat="1" ht="12.75">
      <c r="A1202" s="484"/>
      <c r="B1202" s="186"/>
      <c r="C1202" s="186"/>
    </row>
    <row r="1203" spans="1:3" s="110" customFormat="1" ht="12.75">
      <c r="A1203" s="484"/>
      <c r="B1203" s="186"/>
      <c r="C1203" s="186"/>
    </row>
    <row r="1204" spans="1:3" s="110" customFormat="1" ht="12.75">
      <c r="A1204" s="484"/>
      <c r="B1204" s="186"/>
      <c r="C1204" s="186"/>
    </row>
    <row r="1205" spans="1:3" s="110" customFormat="1" ht="12.75">
      <c r="A1205" s="484"/>
      <c r="B1205" s="186"/>
      <c r="C1205" s="186"/>
    </row>
    <row r="1206" spans="1:3" s="110" customFormat="1" ht="12.75">
      <c r="A1206" s="484"/>
      <c r="B1206" s="186"/>
      <c r="C1206" s="186"/>
    </row>
    <row r="1207" spans="1:3" s="110" customFormat="1" ht="12.75">
      <c r="A1207" s="484"/>
      <c r="B1207" s="186"/>
      <c r="C1207" s="186"/>
    </row>
    <row r="1208" spans="1:3" s="110" customFormat="1" ht="12.75">
      <c r="A1208" s="484"/>
      <c r="B1208" s="186"/>
      <c r="C1208" s="186"/>
    </row>
    <row r="1209" spans="1:3" s="110" customFormat="1" ht="12.75">
      <c r="A1209" s="484"/>
      <c r="B1209" s="186"/>
      <c r="C1209" s="186"/>
    </row>
    <row r="1210" spans="1:3" s="110" customFormat="1" ht="12.75">
      <c r="A1210" s="484"/>
      <c r="B1210" s="186"/>
      <c r="C1210" s="186"/>
    </row>
    <row r="1211" spans="1:3" s="110" customFormat="1" ht="12.75">
      <c r="A1211" s="484"/>
      <c r="B1211" s="186"/>
      <c r="C1211" s="186"/>
    </row>
    <row r="1212" spans="1:3" s="110" customFormat="1" ht="12.75">
      <c r="A1212" s="484"/>
      <c r="B1212" s="186"/>
      <c r="C1212" s="186"/>
    </row>
    <row r="1213" spans="1:3" s="110" customFormat="1" ht="12.75">
      <c r="A1213" s="484"/>
      <c r="B1213" s="186"/>
      <c r="C1213" s="186"/>
    </row>
    <row r="1214" spans="1:3" s="110" customFormat="1" ht="12.75">
      <c r="A1214" s="484"/>
      <c r="B1214" s="186"/>
      <c r="C1214" s="186"/>
    </row>
    <row r="1215" spans="1:3" s="110" customFormat="1" ht="12.75">
      <c r="A1215" s="484"/>
      <c r="B1215" s="186"/>
      <c r="C1215" s="186"/>
    </row>
    <row r="1216" spans="1:3" s="110" customFormat="1" ht="12.75">
      <c r="A1216" s="484"/>
      <c r="B1216" s="186"/>
      <c r="C1216" s="186"/>
    </row>
    <row r="1217" spans="1:3" s="110" customFormat="1" ht="12.75">
      <c r="A1217" s="484"/>
      <c r="B1217" s="186"/>
      <c r="C1217" s="186"/>
    </row>
    <row r="1218" spans="1:3" s="110" customFormat="1" ht="12.75">
      <c r="A1218" s="484"/>
      <c r="B1218" s="186"/>
      <c r="C1218" s="186"/>
    </row>
    <row r="1219" spans="1:3" s="110" customFormat="1" ht="12.75">
      <c r="A1219" s="484"/>
      <c r="B1219" s="186"/>
      <c r="C1219" s="186"/>
    </row>
    <row r="1220" spans="1:3" s="110" customFormat="1" ht="12.75">
      <c r="A1220" s="484"/>
      <c r="B1220" s="186"/>
      <c r="C1220" s="186"/>
    </row>
    <row r="1221" spans="1:3" s="110" customFormat="1" ht="12.75">
      <c r="A1221" s="484"/>
      <c r="B1221" s="186"/>
      <c r="C1221" s="186"/>
    </row>
    <row r="1222" spans="1:3" s="110" customFormat="1" ht="12.75">
      <c r="A1222" s="484"/>
      <c r="B1222" s="186"/>
      <c r="C1222" s="186"/>
    </row>
    <row r="1223" spans="1:3" s="110" customFormat="1" ht="12.75">
      <c r="A1223" s="484"/>
      <c r="B1223" s="186"/>
      <c r="C1223" s="186"/>
    </row>
    <row r="1224" spans="1:3" s="110" customFormat="1" ht="12.75">
      <c r="A1224" s="484"/>
      <c r="B1224" s="186"/>
      <c r="C1224" s="186"/>
    </row>
    <row r="1225" spans="1:3" s="110" customFormat="1" ht="12.75">
      <c r="A1225" s="484"/>
      <c r="B1225" s="186"/>
      <c r="C1225" s="186"/>
    </row>
    <row r="1226" spans="1:3" s="110" customFormat="1" ht="12.75">
      <c r="A1226" s="484"/>
      <c r="B1226" s="186"/>
      <c r="C1226" s="186"/>
    </row>
    <row r="1227" spans="1:3" s="110" customFormat="1" ht="12.75">
      <c r="A1227" s="484"/>
      <c r="B1227" s="186"/>
      <c r="C1227" s="186"/>
    </row>
    <row r="1228" spans="1:3" s="110" customFormat="1" ht="12.75">
      <c r="A1228" s="484"/>
      <c r="B1228" s="186"/>
      <c r="C1228" s="186"/>
    </row>
    <row r="1229" spans="1:3" s="110" customFormat="1" ht="12.75">
      <c r="A1229" s="484"/>
      <c r="B1229" s="186"/>
      <c r="C1229" s="186"/>
    </row>
    <row r="1230" spans="1:3" s="110" customFormat="1" ht="12.75">
      <c r="A1230" s="484"/>
      <c r="B1230" s="186"/>
      <c r="C1230" s="186"/>
    </row>
    <row r="1231" spans="1:3" s="110" customFormat="1" ht="12.75">
      <c r="A1231" s="484"/>
      <c r="B1231" s="186"/>
      <c r="C1231" s="186"/>
    </row>
    <row r="1232" spans="1:3" s="110" customFormat="1" ht="12.75">
      <c r="A1232" s="484"/>
      <c r="B1232" s="186"/>
      <c r="C1232" s="186"/>
    </row>
    <row r="1233" spans="1:3" s="110" customFormat="1" ht="12.75">
      <c r="A1233" s="484"/>
      <c r="B1233" s="186"/>
      <c r="C1233" s="186"/>
    </row>
    <row r="1234" spans="1:3" s="110" customFormat="1" ht="12.75">
      <c r="A1234" s="484"/>
      <c r="B1234" s="186"/>
      <c r="C1234" s="186"/>
    </row>
    <row r="1235" spans="1:3" s="110" customFormat="1" ht="12.75">
      <c r="A1235" s="484"/>
      <c r="B1235" s="186"/>
      <c r="C1235" s="186"/>
    </row>
    <row r="1236" spans="1:3" s="110" customFormat="1" ht="12.75">
      <c r="A1236" s="484"/>
      <c r="B1236" s="186"/>
      <c r="C1236" s="186"/>
    </row>
    <row r="1237" spans="1:3" s="110" customFormat="1" ht="12.75">
      <c r="A1237" s="484"/>
      <c r="B1237" s="186"/>
      <c r="C1237" s="186"/>
    </row>
    <row r="1238" spans="1:3" s="110" customFormat="1" ht="12.75">
      <c r="A1238" s="484"/>
      <c r="B1238" s="186"/>
      <c r="C1238" s="186"/>
    </row>
    <row r="1239" spans="1:3" s="110" customFormat="1" ht="12.75">
      <c r="A1239" s="484"/>
      <c r="B1239" s="186"/>
      <c r="C1239" s="186"/>
    </row>
    <row r="1240" spans="1:3" s="110" customFormat="1" ht="12.75">
      <c r="A1240" s="484"/>
      <c r="B1240" s="186"/>
      <c r="C1240" s="186"/>
    </row>
    <row r="1241" spans="1:3" s="110" customFormat="1" ht="12.75">
      <c r="A1241" s="484"/>
      <c r="B1241" s="186"/>
      <c r="C1241" s="186"/>
    </row>
    <row r="1242" spans="1:3" s="110" customFormat="1" ht="12.75">
      <c r="A1242" s="484"/>
      <c r="B1242" s="186"/>
      <c r="C1242" s="186"/>
    </row>
    <row r="1243" spans="1:3" s="110" customFormat="1" ht="12.75">
      <c r="A1243" s="484"/>
      <c r="B1243" s="186"/>
      <c r="C1243" s="186"/>
    </row>
    <row r="1244" spans="1:3" s="110" customFormat="1" ht="12.75">
      <c r="A1244" s="484"/>
      <c r="B1244" s="186"/>
      <c r="C1244" s="186"/>
    </row>
    <row r="1245" spans="1:3" s="110" customFormat="1" ht="12.75">
      <c r="A1245" s="484"/>
      <c r="B1245" s="186"/>
      <c r="C1245" s="186"/>
    </row>
    <row r="1246" spans="1:3" s="110" customFormat="1" ht="12.75">
      <c r="A1246" s="484"/>
      <c r="B1246" s="186"/>
      <c r="C1246" s="186"/>
    </row>
    <row r="1247" spans="1:3" s="110" customFormat="1" ht="12.75">
      <c r="A1247" s="484"/>
      <c r="B1247" s="186"/>
      <c r="C1247" s="186"/>
    </row>
    <row r="1248" spans="1:3" s="110" customFormat="1" ht="12.75">
      <c r="A1248" s="484"/>
      <c r="B1248" s="186"/>
      <c r="C1248" s="186"/>
    </row>
    <row r="1249" spans="1:3" s="110" customFormat="1" ht="12.75">
      <c r="A1249" s="484"/>
      <c r="B1249" s="186"/>
      <c r="C1249" s="186"/>
    </row>
    <row r="1250" spans="1:3" s="110" customFormat="1" ht="12.75">
      <c r="A1250" s="484"/>
      <c r="B1250" s="186"/>
      <c r="C1250" s="186"/>
    </row>
    <row r="1251" spans="1:3" s="110" customFormat="1" ht="12.75">
      <c r="A1251" s="484"/>
      <c r="B1251" s="186"/>
      <c r="C1251" s="186"/>
    </row>
    <row r="1252" spans="1:3" s="110" customFormat="1" ht="12.75">
      <c r="A1252" s="484"/>
      <c r="B1252" s="186"/>
      <c r="C1252" s="186"/>
    </row>
    <row r="1253" spans="1:3" s="110" customFormat="1" ht="12.75">
      <c r="A1253" s="484"/>
      <c r="B1253" s="186"/>
      <c r="C1253" s="186"/>
    </row>
    <row r="1254" spans="1:3" s="110" customFormat="1" ht="12.75">
      <c r="A1254" s="484"/>
      <c r="B1254" s="186"/>
      <c r="C1254" s="186"/>
    </row>
    <row r="1255" spans="1:3" s="110" customFormat="1" ht="12.75">
      <c r="A1255" s="484"/>
      <c r="B1255" s="186"/>
      <c r="C1255" s="186"/>
    </row>
    <row r="1256" spans="1:3" s="110" customFormat="1" ht="12.75">
      <c r="A1256" s="484"/>
      <c r="B1256" s="186"/>
      <c r="C1256" s="186"/>
    </row>
    <row r="1257" spans="1:3" s="110" customFormat="1" ht="12.75">
      <c r="A1257" s="484"/>
      <c r="B1257" s="186"/>
      <c r="C1257" s="186"/>
    </row>
    <row r="1258" spans="1:3" s="110" customFormat="1" ht="12.75">
      <c r="A1258" s="484"/>
      <c r="B1258" s="186"/>
      <c r="C1258" s="186"/>
    </row>
    <row r="1259" spans="1:3" s="110" customFormat="1" ht="12.75">
      <c r="A1259" s="484"/>
      <c r="B1259" s="186"/>
      <c r="C1259" s="186"/>
    </row>
    <row r="1260" spans="1:3" s="110" customFormat="1" ht="12.75">
      <c r="A1260" s="484"/>
      <c r="B1260" s="186"/>
      <c r="C1260" s="186"/>
    </row>
    <row r="1261" spans="1:3" s="110" customFormat="1" ht="12.75">
      <c r="A1261" s="484"/>
      <c r="B1261" s="186"/>
      <c r="C1261" s="186"/>
    </row>
    <row r="1262" spans="1:3" s="110" customFormat="1" ht="12.75">
      <c r="A1262" s="484"/>
      <c r="B1262" s="186"/>
      <c r="C1262" s="186"/>
    </row>
    <row r="1263" spans="1:3" s="110" customFormat="1" ht="12.75">
      <c r="A1263" s="484"/>
      <c r="B1263" s="186"/>
      <c r="C1263" s="186"/>
    </row>
    <row r="1264" spans="1:3" s="110" customFormat="1" ht="12.75">
      <c r="A1264" s="484"/>
      <c r="B1264" s="186"/>
      <c r="C1264" s="186"/>
    </row>
    <row r="1265" spans="1:3" s="110" customFormat="1" ht="12.75">
      <c r="A1265" s="484"/>
      <c r="B1265" s="186"/>
      <c r="C1265" s="186"/>
    </row>
    <row r="1266" spans="1:3" s="110" customFormat="1" ht="12.75">
      <c r="A1266" s="484"/>
      <c r="B1266" s="186"/>
      <c r="C1266" s="186"/>
    </row>
    <row r="1267" spans="1:3" s="110" customFormat="1" ht="12.75">
      <c r="A1267" s="484"/>
      <c r="B1267" s="186"/>
      <c r="C1267" s="186"/>
    </row>
    <row r="1268" spans="1:3" s="110" customFormat="1" ht="12.75">
      <c r="A1268" s="484"/>
      <c r="B1268" s="186"/>
      <c r="C1268" s="186"/>
    </row>
    <row r="1269" spans="1:3" s="110" customFormat="1" ht="12.75">
      <c r="A1269" s="484"/>
      <c r="B1269" s="186"/>
      <c r="C1269" s="186"/>
    </row>
    <row r="1270" spans="1:3" s="110" customFormat="1" ht="12.75">
      <c r="A1270" s="484"/>
      <c r="B1270" s="186"/>
      <c r="C1270" s="186"/>
    </row>
    <row r="1271" spans="1:3" s="110" customFormat="1" ht="12.75">
      <c r="A1271" s="484"/>
      <c r="B1271" s="186"/>
      <c r="C1271" s="186"/>
    </row>
    <row r="1272" spans="1:3" s="110" customFormat="1" ht="12.75">
      <c r="A1272" s="484"/>
      <c r="B1272" s="186"/>
      <c r="C1272" s="186"/>
    </row>
    <row r="1273" spans="1:3" s="110" customFormat="1" ht="12.75">
      <c r="A1273" s="484"/>
      <c r="B1273" s="186"/>
      <c r="C1273" s="186"/>
    </row>
    <row r="1274" spans="1:3" s="110" customFormat="1" ht="12.75">
      <c r="A1274" s="484"/>
      <c r="B1274" s="186"/>
      <c r="C1274" s="186"/>
    </row>
    <row r="1275" spans="1:3" s="110" customFormat="1" ht="12.75">
      <c r="A1275" s="484"/>
      <c r="B1275" s="186"/>
      <c r="C1275" s="186"/>
    </row>
    <row r="1276" spans="1:3" s="110" customFormat="1" ht="12.75">
      <c r="A1276" s="484"/>
      <c r="B1276" s="186"/>
      <c r="C1276" s="186"/>
    </row>
  </sheetData>
  <sheetProtection/>
  <mergeCells count="50">
    <mergeCell ref="N5:O7"/>
    <mergeCell ref="A114:M114"/>
    <mergeCell ref="I6:I7"/>
    <mergeCell ref="J6:J7"/>
    <mergeCell ref="A113:B113"/>
    <mergeCell ref="L6:L7"/>
    <mergeCell ref="M6:M7"/>
    <mergeCell ref="L89:M89"/>
    <mergeCell ref="A23:A24"/>
    <mergeCell ref="C23:C24"/>
    <mergeCell ref="J5:K5"/>
    <mergeCell ref="K6:K7"/>
    <mergeCell ref="F6:F7"/>
    <mergeCell ref="G6:G7"/>
    <mergeCell ref="H6:H7"/>
    <mergeCell ref="H5:I5"/>
    <mergeCell ref="D23:E23"/>
    <mergeCell ref="A4:M4"/>
    <mergeCell ref="L5:M5"/>
    <mergeCell ref="A5:A7"/>
    <mergeCell ref="B5:B6"/>
    <mergeCell ref="C5:C7"/>
    <mergeCell ref="D5:E5"/>
    <mergeCell ref="D6:D7"/>
    <mergeCell ref="E6:E7"/>
    <mergeCell ref="F5:G5"/>
    <mergeCell ref="J121:K121"/>
    <mergeCell ref="L121:M121"/>
    <mergeCell ref="A121:A122"/>
    <mergeCell ref="C25:C30"/>
    <mergeCell ref="A89:A90"/>
    <mergeCell ref="C89:C90"/>
    <mergeCell ref="D89:E89"/>
    <mergeCell ref="F89:G89"/>
    <mergeCell ref="H89:I89"/>
    <mergeCell ref="J89:K89"/>
    <mergeCell ref="C121:C122"/>
    <mergeCell ref="D121:E121"/>
    <mergeCell ref="F121:G121"/>
    <mergeCell ref="H121:I121"/>
    <mergeCell ref="N89:O90"/>
    <mergeCell ref="A2:O2"/>
    <mergeCell ref="A1:O1"/>
    <mergeCell ref="D22:M22"/>
    <mergeCell ref="N23:O24"/>
    <mergeCell ref="F23:G23"/>
    <mergeCell ref="H23:I23"/>
    <mergeCell ref="J23:K23"/>
    <mergeCell ref="L23:M23"/>
    <mergeCell ref="A3:M3"/>
  </mergeCells>
  <printOptions horizontalCentered="1"/>
  <pageMargins left="0.31496062992125984" right="0.2755905511811024" top="0.5118110236220472" bottom="0.7086614173228347" header="0.5118110236220472" footer="0.5118110236220472"/>
  <pageSetup horizontalDpi="600" verticalDpi="600" orientation="landscape" scale="99" r:id="rId2"/>
  <headerFooter alignWithMargins="0">
    <oddFooter>&amp;R&amp;P</oddFooter>
  </headerFooter>
  <rowBreaks count="6" manualBreakCount="6">
    <brk id="22" max="255" man="1"/>
    <brk id="88" max="255" man="1"/>
    <brk id="108" max="14" man="1"/>
    <brk id="114" max="255" man="1"/>
    <brk id="120" max="255" man="1"/>
    <brk id="130" max="255" man="1"/>
  </rowBreaks>
  <drawing r:id="rId1"/>
</worksheet>
</file>

<file path=xl/worksheets/sheet4.xml><?xml version="1.0" encoding="utf-8"?>
<worksheet xmlns="http://schemas.openxmlformats.org/spreadsheetml/2006/main" xmlns:r="http://schemas.openxmlformats.org/officeDocument/2006/relationships">
  <dimension ref="A1:N169"/>
  <sheetViews>
    <sheetView view="pageBreakPreview" zoomScale="80" zoomScaleNormal="80" zoomScaleSheetLayoutView="80" workbookViewId="0" topLeftCell="A84">
      <selection activeCell="D87" sqref="D87"/>
    </sheetView>
  </sheetViews>
  <sheetFormatPr defaultColWidth="9.140625" defaultRowHeight="12.75"/>
  <cols>
    <col min="2" max="2" width="28.7109375" style="0" customWidth="1"/>
    <col min="3" max="4" width="14.00390625" style="0" customWidth="1"/>
    <col min="5" max="5" width="5.00390625" style="0" customWidth="1"/>
    <col min="6" max="6" width="4.8515625" style="0" customWidth="1"/>
    <col min="7" max="7" width="5.00390625" style="0" customWidth="1"/>
    <col min="8" max="10" width="4.7109375" style="0" customWidth="1"/>
    <col min="11" max="11" width="4.8515625" style="0" customWidth="1"/>
    <col min="12" max="12" width="4.7109375" style="0" customWidth="1"/>
    <col min="13" max="13" width="4.8515625" style="0" customWidth="1"/>
    <col min="14" max="14" width="15.7109375" style="0" customWidth="1"/>
  </cols>
  <sheetData>
    <row r="1" spans="1:14" ht="12.75">
      <c r="A1" s="761"/>
      <c r="B1" s="762">
        <v>4.3</v>
      </c>
      <c r="C1" s="761"/>
      <c r="D1" s="761"/>
      <c r="E1" s="761"/>
      <c r="F1" s="761"/>
      <c r="G1" s="761"/>
      <c r="H1" s="761"/>
      <c r="I1" s="761"/>
      <c r="J1" s="761"/>
      <c r="K1" s="761"/>
      <c r="L1" s="761"/>
      <c r="M1" s="761"/>
      <c r="N1" s="763"/>
    </row>
    <row r="2" spans="1:14" ht="12.75">
      <c r="A2" s="761"/>
      <c r="B2" s="1236"/>
      <c r="C2" s="1236"/>
      <c r="D2" s="1236"/>
      <c r="E2" s="1236"/>
      <c r="F2" s="1236"/>
      <c r="G2" s="1236"/>
      <c r="H2" s="1236"/>
      <c r="I2" s="1236"/>
      <c r="J2" s="1236"/>
      <c r="K2" s="1236"/>
      <c r="L2" s="1236"/>
      <c r="M2" s="1236"/>
      <c r="N2" s="1236"/>
    </row>
    <row r="3" spans="1:14" ht="21" customHeight="1">
      <c r="A3" s="1239" t="s">
        <v>527</v>
      </c>
      <c r="B3" s="1240"/>
      <c r="C3" s="1240"/>
      <c r="D3" s="1240"/>
      <c r="E3" s="1240"/>
      <c r="F3" s="1240"/>
      <c r="G3" s="1240"/>
      <c r="H3" s="1240"/>
      <c r="I3" s="1240"/>
      <c r="J3" s="1240"/>
      <c r="K3" s="1240"/>
      <c r="L3" s="1240"/>
      <c r="M3" s="1240"/>
      <c r="N3" s="1241"/>
    </row>
    <row r="4" spans="1:14" ht="21.75" customHeight="1">
      <c r="A4" s="764"/>
      <c r="B4" s="1237" t="s">
        <v>443</v>
      </c>
      <c r="C4" s="1237"/>
      <c r="D4" s="1237"/>
      <c r="E4" s="1237"/>
      <c r="F4" s="1237"/>
      <c r="G4" s="1237"/>
      <c r="H4" s="1237"/>
      <c r="I4" s="1237"/>
      <c r="J4" s="1237"/>
      <c r="K4" s="1237"/>
      <c r="L4" s="1237"/>
      <c r="M4" s="1237"/>
      <c r="N4" s="1237"/>
    </row>
    <row r="5" spans="1:14" ht="12.75">
      <c r="A5" s="1225" t="s">
        <v>673</v>
      </c>
      <c r="B5" s="1216" t="s">
        <v>175</v>
      </c>
      <c r="C5" s="1225" t="s">
        <v>180</v>
      </c>
      <c r="D5" s="1242" t="s">
        <v>939</v>
      </c>
      <c r="E5" s="765"/>
      <c r="F5" s="1238">
        <v>2012</v>
      </c>
      <c r="G5" s="1238"/>
      <c r="H5" s="1238">
        <v>2013</v>
      </c>
      <c r="I5" s="1238"/>
      <c r="J5" s="1238">
        <v>2014</v>
      </c>
      <c r="K5" s="1238"/>
      <c r="L5" s="1238">
        <v>2015</v>
      </c>
      <c r="M5" s="1238"/>
      <c r="N5" s="1207" t="s">
        <v>515</v>
      </c>
    </row>
    <row r="6" spans="1:14" ht="12.75">
      <c r="A6" s="1225"/>
      <c r="B6" s="1217"/>
      <c r="C6" s="1225"/>
      <c r="D6" s="1243"/>
      <c r="E6" s="1225" t="s">
        <v>181</v>
      </c>
      <c r="F6" s="1225" t="s">
        <v>182</v>
      </c>
      <c r="G6" s="1225" t="s">
        <v>181</v>
      </c>
      <c r="H6" s="1225" t="s">
        <v>182</v>
      </c>
      <c r="I6" s="1225" t="s">
        <v>181</v>
      </c>
      <c r="J6" s="1225" t="s">
        <v>182</v>
      </c>
      <c r="K6" s="1225" t="s">
        <v>181</v>
      </c>
      <c r="L6" s="1225" t="s">
        <v>182</v>
      </c>
      <c r="M6" s="1225" t="s">
        <v>181</v>
      </c>
      <c r="N6" s="1207"/>
    </row>
    <row r="7" spans="1:14" ht="12.75">
      <c r="A7" s="1225"/>
      <c r="B7" s="486" t="s">
        <v>549</v>
      </c>
      <c r="C7" s="1225"/>
      <c r="D7" s="1244"/>
      <c r="E7" s="1225"/>
      <c r="F7" s="1225"/>
      <c r="G7" s="1225"/>
      <c r="H7" s="1225"/>
      <c r="I7" s="1225"/>
      <c r="J7" s="1225"/>
      <c r="K7" s="1225"/>
      <c r="L7" s="1225"/>
      <c r="M7" s="1225"/>
      <c r="N7" s="1207"/>
    </row>
    <row r="8" spans="1:14" ht="87.75" customHeight="1">
      <c r="A8" s="766" t="s">
        <v>941</v>
      </c>
      <c r="B8" s="776" t="s">
        <v>940</v>
      </c>
      <c r="C8" s="802"/>
      <c r="D8" s="803">
        <v>7000000</v>
      </c>
      <c r="E8" s="767"/>
      <c r="F8" s="767"/>
      <c r="G8" s="768"/>
      <c r="H8" s="767"/>
      <c r="I8" s="767"/>
      <c r="J8" s="767"/>
      <c r="K8" s="767"/>
      <c r="L8" s="767"/>
      <c r="M8" s="767"/>
      <c r="N8" s="446"/>
    </row>
    <row r="9" spans="1:14" ht="52.5" customHeight="1">
      <c r="A9" s="766" t="s">
        <v>941</v>
      </c>
      <c r="B9" s="776" t="s">
        <v>623</v>
      </c>
      <c r="C9" s="803">
        <v>19248740</v>
      </c>
      <c r="D9" s="803">
        <f>C9/$C$93+5143540.67</f>
        <v>9623325.626246508</v>
      </c>
      <c r="E9" s="768"/>
      <c r="F9" s="768"/>
      <c r="G9" s="768"/>
      <c r="H9" s="768"/>
      <c r="I9" s="768"/>
      <c r="J9" s="767"/>
      <c r="K9" s="767"/>
      <c r="L9" s="767"/>
      <c r="M9" s="767"/>
      <c r="N9" s="446"/>
    </row>
    <row r="10" spans="1:14" ht="24">
      <c r="A10" s="766" t="s">
        <v>941</v>
      </c>
      <c r="B10" s="776" t="s">
        <v>117</v>
      </c>
      <c r="C10" s="803">
        <v>264500</v>
      </c>
      <c r="D10" s="803">
        <f>C10/$C$93+94916.27+46546.27</f>
        <v>203019.9780934649</v>
      </c>
      <c r="E10" s="768"/>
      <c r="F10" s="768"/>
      <c r="G10" s="768"/>
      <c r="H10" s="768"/>
      <c r="I10" s="768"/>
      <c r="J10" s="768"/>
      <c r="K10" s="768"/>
      <c r="L10" s="768"/>
      <c r="M10" s="768"/>
      <c r="N10" s="446"/>
    </row>
    <row r="11" spans="1:14" ht="24">
      <c r="A11" s="766" t="s">
        <v>941</v>
      </c>
      <c r="B11" s="776" t="s">
        <v>105</v>
      </c>
      <c r="C11" s="1224">
        <v>4000000</v>
      </c>
      <c r="D11" s="1224">
        <f>C11/$C$93+186602.87+1000000</f>
        <v>2117528.2097877488</v>
      </c>
      <c r="E11" s="768"/>
      <c r="F11" s="768"/>
      <c r="G11" s="768"/>
      <c r="H11" s="768"/>
      <c r="I11" s="768"/>
      <c r="J11" s="768"/>
      <c r="K11" s="768"/>
      <c r="L11" s="768"/>
      <c r="M11" s="768"/>
      <c r="N11" s="446"/>
    </row>
    <row r="12" spans="1:14" ht="17.25" customHeight="1">
      <c r="A12" s="766" t="s">
        <v>941</v>
      </c>
      <c r="B12" s="776" t="s">
        <v>625</v>
      </c>
      <c r="C12" s="1224"/>
      <c r="D12" s="1224"/>
      <c r="E12" s="768"/>
      <c r="F12" s="767"/>
      <c r="G12" s="767"/>
      <c r="H12" s="767"/>
      <c r="I12" s="767"/>
      <c r="J12" s="767"/>
      <c r="K12" s="767"/>
      <c r="L12" s="767"/>
      <c r="M12" s="767"/>
      <c r="N12" s="446"/>
    </row>
    <row r="13" spans="1:14" ht="24">
      <c r="A13" s="766" t="s">
        <v>941</v>
      </c>
      <c r="B13" s="776" t="s">
        <v>624</v>
      </c>
      <c r="C13" s="1224"/>
      <c r="D13" s="1224"/>
      <c r="E13" s="768"/>
      <c r="F13" s="767"/>
      <c r="G13" s="767"/>
      <c r="H13" s="767"/>
      <c r="I13" s="767"/>
      <c r="J13" s="767"/>
      <c r="K13" s="767"/>
      <c r="L13" s="767"/>
      <c r="M13" s="767"/>
      <c r="N13" s="446"/>
    </row>
    <row r="14" spans="1:14" ht="38.25" customHeight="1">
      <c r="A14" s="766" t="s">
        <v>941</v>
      </c>
      <c r="B14" s="776" t="s">
        <v>116</v>
      </c>
      <c r="C14" s="803">
        <v>1290322.58</v>
      </c>
      <c r="D14" s="803">
        <f>C14/$C$93+478468.9+1000000</f>
        <v>1778767.3965555762</v>
      </c>
      <c r="E14" s="768"/>
      <c r="F14" s="768"/>
      <c r="G14" s="768"/>
      <c r="H14" s="768"/>
      <c r="I14" s="768"/>
      <c r="J14" s="767"/>
      <c r="K14" s="767"/>
      <c r="L14" s="767"/>
      <c r="M14" s="767"/>
      <c r="N14" s="446"/>
    </row>
    <row r="15" spans="1:14" ht="42" customHeight="1">
      <c r="A15" s="766" t="s">
        <v>941</v>
      </c>
      <c r="B15" s="776" t="s">
        <v>937</v>
      </c>
      <c r="C15" s="803">
        <v>238000</v>
      </c>
      <c r="D15" s="803">
        <f>C15/$C$93+18231.82+102431.81+39867.22</f>
        <v>215920.90771737107</v>
      </c>
      <c r="E15" s="768"/>
      <c r="F15" s="768"/>
      <c r="G15" s="768"/>
      <c r="H15" s="768"/>
      <c r="I15" s="768"/>
      <c r="J15" s="768"/>
      <c r="K15" s="768"/>
      <c r="L15" s="768"/>
      <c r="M15" s="768"/>
      <c r="N15" s="446"/>
    </row>
    <row r="16" spans="1:14" ht="48">
      <c r="A16" s="766" t="s">
        <v>941</v>
      </c>
      <c r="B16" s="232" t="s">
        <v>619</v>
      </c>
      <c r="C16" s="802"/>
      <c r="D16" s="803">
        <v>790697.6744186047</v>
      </c>
      <c r="E16" s="767"/>
      <c r="F16" s="768"/>
      <c r="G16" s="768"/>
      <c r="H16" s="767"/>
      <c r="I16" s="767"/>
      <c r="J16" s="767"/>
      <c r="K16" s="767"/>
      <c r="L16" s="767"/>
      <c r="M16" s="767"/>
      <c r="N16" s="446" t="s">
        <v>199</v>
      </c>
    </row>
    <row r="17" spans="1:14" ht="60">
      <c r="A17" s="766" t="s">
        <v>941</v>
      </c>
      <c r="B17" s="232" t="s">
        <v>622</v>
      </c>
      <c r="C17" s="802"/>
      <c r="D17" s="803">
        <v>82464.36744186048</v>
      </c>
      <c r="E17" s="767"/>
      <c r="F17" s="768"/>
      <c r="G17" s="767"/>
      <c r="H17" s="767"/>
      <c r="I17" s="767"/>
      <c r="J17" s="767"/>
      <c r="K17" s="767"/>
      <c r="L17" s="767"/>
      <c r="M17" s="767"/>
      <c r="N17" s="446"/>
    </row>
    <row r="18" spans="1:14" ht="40.5" customHeight="1">
      <c r="A18" s="766" t="s">
        <v>941</v>
      </c>
      <c r="B18" s="232" t="s">
        <v>790</v>
      </c>
      <c r="C18" s="802"/>
      <c r="D18" s="803">
        <v>1657188.6720930233</v>
      </c>
      <c r="E18" s="767"/>
      <c r="F18" s="768"/>
      <c r="G18" s="768"/>
      <c r="H18" s="768"/>
      <c r="I18" s="768"/>
      <c r="J18" s="767"/>
      <c r="K18" s="767"/>
      <c r="L18" s="767"/>
      <c r="M18" s="767"/>
      <c r="N18" s="446"/>
    </row>
    <row r="19" spans="1:14" ht="99.75" customHeight="1">
      <c r="A19" s="766" t="s">
        <v>941</v>
      </c>
      <c r="B19" s="776" t="s">
        <v>791</v>
      </c>
      <c r="C19" s="802"/>
      <c r="D19" s="803">
        <v>3412222.0558139537</v>
      </c>
      <c r="E19" s="767"/>
      <c r="F19" s="768"/>
      <c r="G19" s="768"/>
      <c r="H19" s="768"/>
      <c r="I19" s="768"/>
      <c r="J19" s="767"/>
      <c r="K19" s="767"/>
      <c r="L19" s="767"/>
      <c r="M19" s="767"/>
      <c r="N19" s="446"/>
    </row>
    <row r="20" spans="1:14" ht="51.75" customHeight="1">
      <c r="A20" s="766" t="s">
        <v>941</v>
      </c>
      <c r="B20" s="813" t="s">
        <v>799</v>
      </c>
      <c r="C20" s="802"/>
      <c r="D20" s="804">
        <v>3000000</v>
      </c>
      <c r="E20" s="767"/>
      <c r="F20" s="768"/>
      <c r="G20" s="768"/>
      <c r="H20" s="768"/>
      <c r="I20" s="767"/>
      <c r="J20" s="767"/>
      <c r="K20" s="767"/>
      <c r="L20" s="767"/>
      <c r="M20" s="767"/>
      <c r="N20" s="446"/>
    </row>
    <row r="21" spans="1:14" ht="51.75" customHeight="1">
      <c r="A21" s="766" t="s">
        <v>941</v>
      </c>
      <c r="B21" s="777" t="s">
        <v>800</v>
      </c>
      <c r="C21" s="802"/>
      <c r="D21" s="805" t="s">
        <v>618</v>
      </c>
      <c r="E21" s="767"/>
      <c r="F21" s="768"/>
      <c r="G21" s="768"/>
      <c r="H21" s="768"/>
      <c r="I21" s="767"/>
      <c r="J21" s="767"/>
      <c r="K21" s="767"/>
      <c r="L21" s="767"/>
      <c r="M21" s="767"/>
      <c r="N21" s="446"/>
    </row>
    <row r="22" spans="1:14" ht="60">
      <c r="A22" s="766" t="s">
        <v>941</v>
      </c>
      <c r="B22" s="777" t="s">
        <v>645</v>
      </c>
      <c r="C22" s="802"/>
      <c r="D22" s="805" t="s">
        <v>618</v>
      </c>
      <c r="E22" s="767"/>
      <c r="F22" s="768"/>
      <c r="G22" s="768"/>
      <c r="H22" s="768"/>
      <c r="I22" s="767"/>
      <c r="J22" s="767"/>
      <c r="K22" s="767"/>
      <c r="L22" s="767"/>
      <c r="M22" s="767"/>
      <c r="N22" s="446"/>
    </row>
    <row r="23" spans="1:14" ht="72">
      <c r="A23" s="766" t="s">
        <v>941</v>
      </c>
      <c r="B23" s="777" t="s">
        <v>646</v>
      </c>
      <c r="C23" s="802"/>
      <c r="D23" s="804">
        <v>150000</v>
      </c>
      <c r="E23" s="767"/>
      <c r="F23" s="768"/>
      <c r="G23" s="768"/>
      <c r="H23" s="768"/>
      <c r="I23" s="767"/>
      <c r="J23" s="767"/>
      <c r="K23" s="767"/>
      <c r="L23" s="767"/>
      <c r="M23" s="767"/>
      <c r="N23" s="446"/>
    </row>
    <row r="24" spans="1:14" ht="24">
      <c r="A24" s="766" t="s">
        <v>941</v>
      </c>
      <c r="B24" s="777" t="s">
        <v>201</v>
      </c>
      <c r="C24" s="802"/>
      <c r="D24" s="804">
        <v>3000000</v>
      </c>
      <c r="E24" s="767"/>
      <c r="F24" s="768"/>
      <c r="G24" s="768"/>
      <c r="H24" s="768"/>
      <c r="I24" s="767"/>
      <c r="J24" s="767"/>
      <c r="K24" s="767"/>
      <c r="L24" s="767"/>
      <c r="M24" s="767"/>
      <c r="N24" s="446"/>
    </row>
    <row r="25" spans="1:14" ht="48">
      <c r="A25" s="766" t="s">
        <v>941</v>
      </c>
      <c r="B25" s="813" t="s">
        <v>647</v>
      </c>
      <c r="C25" s="802"/>
      <c r="D25" s="814" t="s">
        <v>618</v>
      </c>
      <c r="E25" s="767"/>
      <c r="F25" s="767"/>
      <c r="G25" s="768"/>
      <c r="H25" s="768"/>
      <c r="I25" s="768"/>
      <c r="J25" s="767"/>
      <c r="K25" s="767"/>
      <c r="L25" s="767"/>
      <c r="M25" s="767"/>
      <c r="N25" s="446"/>
    </row>
    <row r="26" spans="1:14" ht="62.25" customHeight="1">
      <c r="A26" s="766" t="s">
        <v>941</v>
      </c>
      <c r="B26" s="777" t="s">
        <v>190</v>
      </c>
      <c r="C26" s="802"/>
      <c r="D26" s="805" t="s">
        <v>618</v>
      </c>
      <c r="E26" s="767"/>
      <c r="F26" s="767"/>
      <c r="G26" s="768"/>
      <c r="H26" s="768"/>
      <c r="I26" s="768"/>
      <c r="J26" s="767"/>
      <c r="K26" s="767"/>
      <c r="L26" s="767"/>
      <c r="M26" s="767"/>
      <c r="N26" s="446"/>
    </row>
    <row r="27" spans="1:14" ht="72">
      <c r="A27" s="766" t="s">
        <v>941</v>
      </c>
      <c r="B27" s="777" t="s">
        <v>191</v>
      </c>
      <c r="C27" s="802"/>
      <c r="D27" s="804">
        <v>3500000</v>
      </c>
      <c r="E27" s="767"/>
      <c r="F27" s="767"/>
      <c r="G27" s="768"/>
      <c r="H27" s="768"/>
      <c r="I27" s="768"/>
      <c r="J27" s="767"/>
      <c r="K27" s="767"/>
      <c r="L27" s="767"/>
      <c r="M27" s="767"/>
      <c r="N27" s="446"/>
    </row>
    <row r="28" spans="1:14" ht="39" customHeight="1">
      <c r="A28" s="766" t="s">
        <v>941</v>
      </c>
      <c r="B28" s="776" t="s">
        <v>192</v>
      </c>
      <c r="C28" s="803">
        <v>282910</v>
      </c>
      <c r="D28" s="803">
        <f>C28/$C$93+213564.59+69554.09+D56+200000</f>
        <v>667391.8600409607</v>
      </c>
      <c r="E28" s="768"/>
      <c r="F28" s="768"/>
      <c r="G28" s="768"/>
      <c r="H28" s="768"/>
      <c r="I28" s="768"/>
      <c r="J28" s="768"/>
      <c r="K28" s="768"/>
      <c r="L28" s="768"/>
      <c r="M28" s="768"/>
      <c r="N28" s="446"/>
    </row>
    <row r="29" spans="1:14" ht="23.25" customHeight="1">
      <c r="A29" s="766"/>
      <c r="B29" s="486" t="s">
        <v>174</v>
      </c>
      <c r="C29" s="233"/>
      <c r="D29" s="233">
        <f>SUM(D8:D28)</f>
        <v>37198526.748209074</v>
      </c>
      <c r="E29" s="1220"/>
      <c r="F29" s="1221"/>
      <c r="G29" s="1221"/>
      <c r="H29" s="1221"/>
      <c r="I29" s="1221"/>
      <c r="J29" s="1221"/>
      <c r="K29" s="1221"/>
      <c r="L29" s="1221"/>
      <c r="M29" s="1222"/>
      <c r="N29" s="760"/>
    </row>
    <row r="30" spans="1:14" ht="12.75">
      <c r="A30" s="1211" t="s">
        <v>673</v>
      </c>
      <c r="B30" s="1218" t="s">
        <v>176</v>
      </c>
      <c r="C30" s="1211" t="s">
        <v>180</v>
      </c>
      <c r="D30" s="1233" t="s">
        <v>939</v>
      </c>
      <c r="E30" s="779"/>
      <c r="F30" s="1223">
        <v>2012</v>
      </c>
      <c r="G30" s="1223"/>
      <c r="H30" s="1223">
        <v>2013</v>
      </c>
      <c r="I30" s="1223"/>
      <c r="J30" s="1223">
        <v>2014</v>
      </c>
      <c r="K30" s="1223"/>
      <c r="L30" s="1223">
        <v>2015</v>
      </c>
      <c r="M30" s="1223"/>
      <c r="N30" s="1207" t="s">
        <v>515</v>
      </c>
    </row>
    <row r="31" spans="1:14" ht="12.75">
      <c r="A31" s="1211"/>
      <c r="B31" s="1219"/>
      <c r="C31" s="1211"/>
      <c r="D31" s="1234"/>
      <c r="E31" s="1211" t="s">
        <v>181</v>
      </c>
      <c r="F31" s="1211" t="s">
        <v>182</v>
      </c>
      <c r="G31" s="1211" t="s">
        <v>181</v>
      </c>
      <c r="H31" s="1211" t="s">
        <v>182</v>
      </c>
      <c r="I31" s="1211" t="s">
        <v>181</v>
      </c>
      <c r="J31" s="1211" t="s">
        <v>182</v>
      </c>
      <c r="K31" s="1211" t="s">
        <v>181</v>
      </c>
      <c r="L31" s="1211" t="s">
        <v>182</v>
      </c>
      <c r="M31" s="1211" t="s">
        <v>181</v>
      </c>
      <c r="N31" s="1207"/>
    </row>
    <row r="32" spans="1:14" ht="16.5" customHeight="1">
      <c r="A32" s="1211"/>
      <c r="B32" s="778" t="s">
        <v>549</v>
      </c>
      <c r="C32" s="1211"/>
      <c r="D32" s="1235"/>
      <c r="E32" s="1211"/>
      <c r="F32" s="1211"/>
      <c r="G32" s="1211"/>
      <c r="H32" s="1211"/>
      <c r="I32" s="1211"/>
      <c r="J32" s="1211"/>
      <c r="K32" s="1211"/>
      <c r="L32" s="1211"/>
      <c r="M32" s="1211"/>
      <c r="N32" s="1207"/>
    </row>
    <row r="33" spans="1:14" ht="18.75" customHeight="1">
      <c r="A33" s="766" t="s">
        <v>941</v>
      </c>
      <c r="B33" s="234" t="s">
        <v>119</v>
      </c>
      <c r="C33" s="235">
        <v>254035</v>
      </c>
      <c r="D33" s="235">
        <f>C33/$C$93+37537.24</f>
        <v>96659.1446732452</v>
      </c>
      <c r="E33" s="768"/>
      <c r="F33" s="767"/>
      <c r="G33" s="767"/>
      <c r="H33" s="767"/>
      <c r="I33" s="767"/>
      <c r="J33" s="767"/>
      <c r="K33" s="767"/>
      <c r="L33" s="767"/>
      <c r="M33" s="767"/>
      <c r="N33" s="446"/>
    </row>
    <row r="34" spans="1:14" ht="40.5" customHeight="1">
      <c r="A34" s="766" t="s">
        <v>941</v>
      </c>
      <c r="B34" s="781" t="s">
        <v>120</v>
      </c>
      <c r="C34" s="235">
        <v>12960</v>
      </c>
      <c r="D34" s="235">
        <f>C34/$C$93+25458.48+9449.67+7177.03+8373.21</f>
        <v>53474.588100912304</v>
      </c>
      <c r="E34" s="768"/>
      <c r="F34" s="768"/>
      <c r="G34" s="768"/>
      <c r="H34" s="768"/>
      <c r="I34" s="768"/>
      <c r="J34" s="768"/>
      <c r="K34" s="768"/>
      <c r="L34" s="768"/>
      <c r="M34" s="768"/>
      <c r="N34" s="446"/>
    </row>
    <row r="35" spans="1:14" ht="39.75" customHeight="1">
      <c r="A35" s="766" t="s">
        <v>941</v>
      </c>
      <c r="B35" s="781" t="s">
        <v>590</v>
      </c>
      <c r="C35" s="235">
        <v>50000</v>
      </c>
      <c r="D35" s="235">
        <f>C35/$C$93+D62</f>
        <v>49474.1849152858</v>
      </c>
      <c r="E35" s="768"/>
      <c r="F35" s="768"/>
      <c r="G35" s="768"/>
      <c r="H35" s="768"/>
      <c r="I35" s="768"/>
      <c r="J35" s="768"/>
      <c r="K35" s="768"/>
      <c r="L35" s="768"/>
      <c r="M35" s="768"/>
      <c r="N35" s="446"/>
    </row>
    <row r="36" spans="1:14" ht="15.75" customHeight="1">
      <c r="A36" s="766" t="s">
        <v>941</v>
      </c>
      <c r="B36" s="781" t="s">
        <v>121</v>
      </c>
      <c r="C36" s="235">
        <v>150000</v>
      </c>
      <c r="D36" s="235">
        <f>C36/$C$93+53827.75</f>
        <v>88737.45024204059</v>
      </c>
      <c r="E36" s="767"/>
      <c r="F36" s="768"/>
      <c r="G36" s="767"/>
      <c r="H36" s="767"/>
      <c r="I36" s="768"/>
      <c r="J36" s="767"/>
      <c r="K36" s="767"/>
      <c r="L36" s="767"/>
      <c r="M36" s="767"/>
      <c r="N36" s="446"/>
    </row>
    <row r="37" spans="1:14" ht="27.75" customHeight="1">
      <c r="A37" s="766" t="s">
        <v>941</v>
      </c>
      <c r="B37" s="781" t="s">
        <v>118</v>
      </c>
      <c r="C37" s="235">
        <v>189330</v>
      </c>
      <c r="D37" s="235">
        <f>C37/$C$93+67942.58+D59+D68+D42</f>
        <v>468582.60695215047</v>
      </c>
      <c r="E37" s="768"/>
      <c r="F37" s="768"/>
      <c r="G37" s="768"/>
      <c r="H37" s="768"/>
      <c r="I37" s="768"/>
      <c r="J37" s="768"/>
      <c r="K37" s="768"/>
      <c r="L37" s="768"/>
      <c r="M37" s="768"/>
      <c r="N37" s="446"/>
    </row>
    <row r="38" spans="1:14" ht="24">
      <c r="A38" s="766" t="s">
        <v>941</v>
      </c>
      <c r="B38" s="781" t="s">
        <v>151</v>
      </c>
      <c r="C38" s="235">
        <v>211965</v>
      </c>
      <c r="D38" s="235">
        <f>C38/$C$93+263157.89</f>
        <v>312488.7874120276</v>
      </c>
      <c r="E38" s="768"/>
      <c r="F38" s="768"/>
      <c r="G38" s="768"/>
      <c r="H38" s="768"/>
      <c r="I38" s="768"/>
      <c r="J38" s="768"/>
      <c r="K38" s="768"/>
      <c r="L38" s="768"/>
      <c r="M38" s="768"/>
      <c r="N38" s="446"/>
    </row>
    <row r="39" spans="1:14" ht="24">
      <c r="A39" s="766" t="s">
        <v>941</v>
      </c>
      <c r="B39" s="781" t="s">
        <v>106</v>
      </c>
      <c r="C39" s="235">
        <v>7260</v>
      </c>
      <c r="D39" s="235">
        <f>C39/$C$93</f>
        <v>1689.6294917147643</v>
      </c>
      <c r="E39" s="768"/>
      <c r="F39" s="768"/>
      <c r="G39" s="768"/>
      <c r="H39" s="768"/>
      <c r="I39" s="767"/>
      <c r="J39" s="767"/>
      <c r="K39" s="767"/>
      <c r="L39" s="767"/>
      <c r="M39" s="767"/>
      <c r="N39" s="446"/>
    </row>
    <row r="40" spans="1:14" ht="26.25" customHeight="1">
      <c r="A40" s="766" t="s">
        <v>941</v>
      </c>
      <c r="B40" s="781" t="s">
        <v>107</v>
      </c>
      <c r="C40" s="1215">
        <v>62905</v>
      </c>
      <c r="D40" s="1232">
        <f>C40/$C$93+47846.89+67905.19+22415.05+41291.19+6220.1+10047.85+8971.29+100000</f>
        <v>319337.5246248371</v>
      </c>
      <c r="E40" s="768"/>
      <c r="F40" s="768"/>
      <c r="G40" s="768"/>
      <c r="H40" s="768"/>
      <c r="I40" s="768"/>
      <c r="J40" s="768"/>
      <c r="K40" s="768"/>
      <c r="L40" s="768"/>
      <c r="M40" s="768"/>
      <c r="N40" s="446"/>
    </row>
    <row r="41" spans="1:14" ht="24.75" customHeight="1">
      <c r="A41" s="766" t="s">
        <v>941</v>
      </c>
      <c r="B41" s="781" t="s">
        <v>108</v>
      </c>
      <c r="C41" s="1215"/>
      <c r="D41" s="1232"/>
      <c r="E41" s="768"/>
      <c r="F41" s="768"/>
      <c r="G41" s="768"/>
      <c r="H41" s="768"/>
      <c r="I41" s="768"/>
      <c r="J41" s="768"/>
      <c r="K41" s="768"/>
      <c r="L41" s="768"/>
      <c r="M41" s="768"/>
      <c r="N41" s="446"/>
    </row>
    <row r="42" spans="1:14" ht="36">
      <c r="A42" s="766" t="s">
        <v>941</v>
      </c>
      <c r="B42" s="781" t="s">
        <v>109</v>
      </c>
      <c r="C42" s="235">
        <v>7000</v>
      </c>
      <c r="D42" s="235">
        <f>C42/$C$93+191387.56</f>
        <v>193016.67934462856</v>
      </c>
      <c r="E42" s="768"/>
      <c r="F42" s="768"/>
      <c r="G42" s="768"/>
      <c r="H42" s="768"/>
      <c r="I42" s="768"/>
      <c r="J42" s="768"/>
      <c r="K42" s="768"/>
      <c r="L42" s="768"/>
      <c r="M42" s="768"/>
      <c r="N42" s="446"/>
    </row>
    <row r="43" spans="1:14" ht="24">
      <c r="A43" s="766" t="s">
        <v>941</v>
      </c>
      <c r="B43" s="781" t="s">
        <v>111</v>
      </c>
      <c r="C43" s="235">
        <v>12903.22</v>
      </c>
      <c r="D43" s="235">
        <f>C43/$C$93+5741.63</f>
        <v>8744.613615714019</v>
      </c>
      <c r="E43" s="768"/>
      <c r="F43" s="768"/>
      <c r="G43" s="768"/>
      <c r="H43" s="768"/>
      <c r="I43" s="767"/>
      <c r="J43" s="767"/>
      <c r="K43" s="767"/>
      <c r="L43" s="767"/>
      <c r="M43" s="767"/>
      <c r="N43" s="446"/>
    </row>
    <row r="44" spans="1:14" ht="27" customHeight="1">
      <c r="A44" s="766" t="s">
        <v>941</v>
      </c>
      <c r="B44" s="781" t="s">
        <v>626</v>
      </c>
      <c r="C44" s="235">
        <v>28225.8</v>
      </c>
      <c r="D44" s="235">
        <f>C44/$C$93+10765.55</f>
        <v>17334.57811394526</v>
      </c>
      <c r="E44" s="768"/>
      <c r="F44" s="768"/>
      <c r="G44" s="768"/>
      <c r="H44" s="768"/>
      <c r="I44" s="768"/>
      <c r="J44" s="768"/>
      <c r="K44" s="768"/>
      <c r="L44" s="768"/>
      <c r="M44" s="768"/>
      <c r="N44" s="446"/>
    </row>
    <row r="45" spans="1:14" ht="36">
      <c r="A45" s="766" t="s">
        <v>941</v>
      </c>
      <c r="B45" s="781" t="s">
        <v>112</v>
      </c>
      <c r="C45" s="235">
        <f>376612.9+56451.61</f>
        <v>433064.51</v>
      </c>
      <c r="D45" s="235">
        <f>C45/$C$93+11961.72+137559.81+3039.47+D53+D54+50000</f>
        <v>511839.3060435673</v>
      </c>
      <c r="E45" s="768"/>
      <c r="F45" s="768"/>
      <c r="G45" s="768"/>
      <c r="H45" s="768"/>
      <c r="I45" s="768"/>
      <c r="J45" s="768"/>
      <c r="K45" s="768"/>
      <c r="L45" s="768"/>
      <c r="M45" s="768"/>
      <c r="N45" s="446"/>
    </row>
    <row r="46" spans="1:14" ht="15.75" customHeight="1">
      <c r="A46" s="766" t="s">
        <v>941</v>
      </c>
      <c r="B46" s="781" t="s">
        <v>113</v>
      </c>
      <c r="C46" s="235">
        <v>18550</v>
      </c>
      <c r="D46" s="235">
        <f>C46/$C$93+2392.34+91387.56+D65</f>
        <v>135634.3032768572</v>
      </c>
      <c r="E46" s="768"/>
      <c r="F46" s="767"/>
      <c r="G46" s="767"/>
      <c r="H46" s="767"/>
      <c r="I46" s="767"/>
      <c r="J46" s="767"/>
      <c r="K46" s="767"/>
      <c r="L46" s="767"/>
      <c r="M46" s="767"/>
      <c r="N46" s="446"/>
    </row>
    <row r="47" spans="1:14" ht="16.5" customHeight="1">
      <c r="A47" s="766" t="s">
        <v>941</v>
      </c>
      <c r="B47" s="781" t="s">
        <v>114</v>
      </c>
      <c r="C47" s="235">
        <v>72580.64</v>
      </c>
      <c r="D47" s="235">
        <f>C47/$C$93</f>
        <v>16891.789238503072</v>
      </c>
      <c r="E47" s="768"/>
      <c r="F47" s="767"/>
      <c r="G47" s="767"/>
      <c r="H47" s="767"/>
      <c r="I47" s="767"/>
      <c r="J47" s="767"/>
      <c r="K47" s="767"/>
      <c r="L47" s="767"/>
      <c r="M47" s="767"/>
      <c r="N47" s="446"/>
    </row>
    <row r="48" spans="1:14" ht="15.75" customHeight="1">
      <c r="A48" s="766" t="s">
        <v>941</v>
      </c>
      <c r="B48" s="781" t="s">
        <v>115</v>
      </c>
      <c r="C48" s="235">
        <v>2419.35</v>
      </c>
      <c r="D48" s="235">
        <f>C48/$C$93+4784.69</f>
        <v>5347.7485552038725</v>
      </c>
      <c r="E48" s="768"/>
      <c r="F48" s="767"/>
      <c r="G48" s="767"/>
      <c r="H48" s="767"/>
      <c r="I48" s="767"/>
      <c r="J48" s="767"/>
      <c r="K48" s="767"/>
      <c r="L48" s="767"/>
      <c r="M48" s="767"/>
      <c r="N48" s="446"/>
    </row>
    <row r="49" spans="1:14" ht="21" customHeight="1">
      <c r="A49" s="766" t="s">
        <v>941</v>
      </c>
      <c r="B49" s="781" t="s">
        <v>110</v>
      </c>
      <c r="C49" s="235">
        <v>129032.25</v>
      </c>
      <c r="D49" s="235">
        <f>C49/$C$93+58612.44</f>
        <v>88642.28779370694</v>
      </c>
      <c r="E49" s="768"/>
      <c r="F49" s="768"/>
      <c r="G49" s="768"/>
      <c r="H49" s="768"/>
      <c r="I49" s="768"/>
      <c r="J49" s="768"/>
      <c r="K49" s="768"/>
      <c r="L49" s="768"/>
      <c r="M49" s="768"/>
      <c r="N49" s="446"/>
    </row>
    <row r="50" spans="1:14" ht="27.75" customHeight="1">
      <c r="A50" s="766" t="s">
        <v>941</v>
      </c>
      <c r="B50" s="781" t="s">
        <v>151</v>
      </c>
      <c r="C50" s="235">
        <v>177420</v>
      </c>
      <c r="D50" s="235">
        <f>C50/$C$93+4505+D67</f>
        <v>64888.7739713275</v>
      </c>
      <c r="E50" s="768"/>
      <c r="F50" s="768"/>
      <c r="G50" s="768"/>
      <c r="H50" s="768"/>
      <c r="I50" s="768"/>
      <c r="J50" s="768"/>
      <c r="K50" s="768"/>
      <c r="L50" s="768"/>
      <c r="M50" s="768"/>
      <c r="N50" s="446"/>
    </row>
    <row r="51" spans="1:14" ht="24">
      <c r="A51" s="766" t="s">
        <v>941</v>
      </c>
      <c r="B51" s="781" t="s">
        <v>934</v>
      </c>
      <c r="C51" s="235">
        <v>88710</v>
      </c>
      <c r="D51" s="235">
        <f>C51/$C$93</f>
        <v>20645.596723142804</v>
      </c>
      <c r="E51" s="768"/>
      <c r="F51" s="768"/>
      <c r="G51" s="768"/>
      <c r="H51" s="768"/>
      <c r="I51" s="768"/>
      <c r="J51" s="768"/>
      <c r="K51" s="768"/>
      <c r="L51" s="768"/>
      <c r="M51" s="768"/>
      <c r="N51" s="446"/>
    </row>
    <row r="52" spans="1:14" ht="24">
      <c r="A52" s="766" t="s">
        <v>941</v>
      </c>
      <c r="B52" s="781" t="s">
        <v>935</v>
      </c>
      <c r="C52" s="235">
        <v>50000</v>
      </c>
      <c r="D52" s="235">
        <f>C52/$C$93</f>
        <v>11636.566747346862</v>
      </c>
      <c r="E52" s="768"/>
      <c r="F52" s="768"/>
      <c r="G52" s="768"/>
      <c r="H52" s="768"/>
      <c r="I52" s="768"/>
      <c r="J52" s="768"/>
      <c r="K52" s="768"/>
      <c r="L52" s="768"/>
      <c r="M52" s="768"/>
      <c r="N52" s="446"/>
    </row>
    <row r="53" spans="1:14" ht="27.75" customHeight="1">
      <c r="A53" s="766" t="s">
        <v>941</v>
      </c>
      <c r="B53" s="781" t="s">
        <v>122</v>
      </c>
      <c r="C53" s="235">
        <v>197580</v>
      </c>
      <c r="D53" s="235">
        <f>C53/$C$93+57879.19+55550.24</f>
        <v>159412.48715881587</v>
      </c>
      <c r="E53" s="768"/>
      <c r="F53" s="768"/>
      <c r="G53" s="768"/>
      <c r="H53" s="768"/>
      <c r="I53" s="768"/>
      <c r="J53" s="768"/>
      <c r="K53" s="767"/>
      <c r="L53" s="767"/>
      <c r="M53" s="767"/>
      <c r="N53" s="446"/>
    </row>
    <row r="54" spans="1:14" ht="28.5" customHeight="1">
      <c r="A54" s="766" t="s">
        <v>941</v>
      </c>
      <c r="B54" s="781" t="s">
        <v>123</v>
      </c>
      <c r="C54" s="235">
        <v>13000</v>
      </c>
      <c r="D54" s="235">
        <f>C54/$C$93+4784.69+11961.72+8373.21+11674.64+9258.37</f>
        <v>49078.13735431019</v>
      </c>
      <c r="E54" s="768"/>
      <c r="F54" s="768"/>
      <c r="G54" s="768"/>
      <c r="H54" s="768"/>
      <c r="I54" s="768"/>
      <c r="J54" s="768"/>
      <c r="K54" s="768"/>
      <c r="L54" s="768"/>
      <c r="M54" s="768"/>
      <c r="N54" s="446"/>
    </row>
    <row r="55" spans="1:14" ht="39.75" customHeight="1">
      <c r="A55" s="766" t="s">
        <v>941</v>
      </c>
      <c r="B55" s="781" t="s">
        <v>124</v>
      </c>
      <c r="C55" s="235">
        <v>6970</v>
      </c>
      <c r="D55" s="235">
        <f>C55/$C$93</f>
        <v>1622.1374045801526</v>
      </c>
      <c r="E55" s="768"/>
      <c r="F55" s="768"/>
      <c r="G55" s="768"/>
      <c r="H55" s="768"/>
      <c r="I55" s="768"/>
      <c r="J55" s="768"/>
      <c r="K55" s="768"/>
      <c r="L55" s="768"/>
      <c r="M55" s="768"/>
      <c r="N55" s="446"/>
    </row>
    <row r="56" spans="1:14" ht="27.75" customHeight="1">
      <c r="A56" s="766" t="s">
        <v>941</v>
      </c>
      <c r="B56" s="781" t="s">
        <v>591</v>
      </c>
      <c r="C56" s="235">
        <v>508875</v>
      </c>
      <c r="D56" s="235">
        <f>C56/$C$93</f>
        <v>118431.15807112269</v>
      </c>
      <c r="E56" s="768"/>
      <c r="F56" s="768"/>
      <c r="G56" s="768"/>
      <c r="H56" s="768"/>
      <c r="I56" s="768"/>
      <c r="J56" s="768"/>
      <c r="K56" s="768"/>
      <c r="L56" s="768"/>
      <c r="M56" s="768"/>
      <c r="N56" s="446"/>
    </row>
    <row r="57" spans="1:14" ht="51.75" customHeight="1">
      <c r="A57" s="766" t="s">
        <v>941</v>
      </c>
      <c r="B57" s="781" t="s">
        <v>936</v>
      </c>
      <c r="C57" s="235">
        <v>20000</v>
      </c>
      <c r="D57" s="235">
        <f>C57/$C$93+777511.96</f>
        <v>782166.5866989387</v>
      </c>
      <c r="E57" s="768"/>
      <c r="F57" s="768"/>
      <c r="G57" s="768"/>
      <c r="H57" s="768"/>
      <c r="I57" s="768"/>
      <c r="J57" s="768"/>
      <c r="K57" s="768"/>
      <c r="L57" s="768"/>
      <c r="M57" s="768"/>
      <c r="N57" s="446"/>
    </row>
    <row r="58" spans="1:14" ht="24">
      <c r="A58" s="766" t="s">
        <v>941</v>
      </c>
      <c r="B58" s="781" t="s">
        <v>152</v>
      </c>
      <c r="C58" s="235">
        <v>699775</v>
      </c>
      <c r="D58" s="235">
        <f>C58/$C$93+311004.78</f>
        <v>473864.349912493</v>
      </c>
      <c r="E58" s="768"/>
      <c r="F58" s="767"/>
      <c r="G58" s="767"/>
      <c r="H58" s="767"/>
      <c r="I58" s="768"/>
      <c r="J58" s="767"/>
      <c r="K58" s="767"/>
      <c r="L58" s="767"/>
      <c r="M58" s="767"/>
      <c r="N58" s="446"/>
    </row>
    <row r="59" spans="1:14" ht="26.25" customHeight="1">
      <c r="A59" s="766" t="s">
        <v>941</v>
      </c>
      <c r="B59" s="781" t="s">
        <v>153</v>
      </c>
      <c r="C59" s="235">
        <v>557625</v>
      </c>
      <c r="D59" s="235">
        <f>C59/$C$93</f>
        <v>129776.81064978588</v>
      </c>
      <c r="E59" s="768"/>
      <c r="F59" s="768"/>
      <c r="G59" s="768"/>
      <c r="H59" s="768"/>
      <c r="I59" s="768"/>
      <c r="J59" s="768"/>
      <c r="K59" s="768"/>
      <c r="L59" s="768"/>
      <c r="M59" s="768"/>
      <c r="N59" s="446"/>
    </row>
    <row r="60" spans="1:14" ht="28.5" customHeight="1">
      <c r="A60" s="766" t="s">
        <v>941</v>
      </c>
      <c r="B60" s="781" t="s">
        <v>154</v>
      </c>
      <c r="C60" s="235">
        <v>4700000</v>
      </c>
      <c r="D60" s="235"/>
      <c r="E60" s="768"/>
      <c r="F60" s="768"/>
      <c r="G60" s="768"/>
      <c r="H60" s="768"/>
      <c r="I60" s="768"/>
      <c r="J60" s="768"/>
      <c r="K60" s="768"/>
      <c r="L60" s="768"/>
      <c r="M60" s="768"/>
      <c r="N60" s="446"/>
    </row>
    <row r="61" spans="1:14" ht="30" customHeight="1">
      <c r="A61" s="766" t="s">
        <v>941</v>
      </c>
      <c r="B61" s="781" t="s">
        <v>589</v>
      </c>
      <c r="C61" s="235">
        <v>9700</v>
      </c>
      <c r="D61" s="235">
        <f>C61/$C$93</f>
        <v>2257.4939489852914</v>
      </c>
      <c r="E61" s="768"/>
      <c r="F61" s="768"/>
      <c r="G61" s="768"/>
      <c r="H61" s="768"/>
      <c r="I61" s="768"/>
      <c r="J61" s="768"/>
      <c r="K61" s="768"/>
      <c r="L61" s="768"/>
      <c r="M61" s="768"/>
      <c r="N61" s="446"/>
    </row>
    <row r="62" spans="1:14" ht="40.5" customHeight="1">
      <c r="A62" s="766" t="s">
        <v>941</v>
      </c>
      <c r="B62" s="781" t="s">
        <v>590</v>
      </c>
      <c r="C62" s="235">
        <v>85485</v>
      </c>
      <c r="D62" s="235">
        <f>C62/$C$93+17942.58</f>
        <v>37837.618167938934</v>
      </c>
      <c r="E62" s="768"/>
      <c r="F62" s="768"/>
      <c r="G62" s="768"/>
      <c r="H62" s="768"/>
      <c r="I62" s="768"/>
      <c r="J62" s="768"/>
      <c r="K62" s="768"/>
      <c r="L62" s="768"/>
      <c r="M62" s="768"/>
      <c r="N62" s="446"/>
    </row>
    <row r="63" spans="1:14" ht="54.75" customHeight="1">
      <c r="A63" s="766" t="s">
        <v>941</v>
      </c>
      <c r="B63" s="781" t="s">
        <v>150</v>
      </c>
      <c r="C63" s="235">
        <v>238140.32</v>
      </c>
      <c r="D63" s="235">
        <v>30000</v>
      </c>
      <c r="E63" s="768"/>
      <c r="F63" s="768"/>
      <c r="G63" s="768"/>
      <c r="H63" s="768"/>
      <c r="I63" s="768"/>
      <c r="J63" s="768"/>
      <c r="K63" s="768"/>
      <c r="L63" s="768"/>
      <c r="M63" s="768"/>
      <c r="N63" s="446"/>
    </row>
    <row r="64" spans="1:14" ht="36.75" customHeight="1">
      <c r="A64" s="766" t="s">
        <v>941</v>
      </c>
      <c r="B64" s="782" t="s">
        <v>627</v>
      </c>
      <c r="C64" s="237">
        <v>200000</v>
      </c>
      <c r="D64" s="237">
        <f>C64/$C$93</f>
        <v>46546.26698938745</v>
      </c>
      <c r="E64" s="768"/>
      <c r="F64" s="768"/>
      <c r="G64" s="768"/>
      <c r="H64" s="768"/>
      <c r="I64" s="768"/>
      <c r="J64" s="768"/>
      <c r="K64" s="768"/>
      <c r="L64" s="768"/>
      <c r="M64" s="768"/>
      <c r="N64" s="446"/>
    </row>
    <row r="65" spans="1:14" ht="24">
      <c r="A65" s="766" t="s">
        <v>941</v>
      </c>
      <c r="B65" s="782" t="s">
        <v>938</v>
      </c>
      <c r="C65" s="237">
        <v>161290</v>
      </c>
      <c r="D65" s="237">
        <f>C65/$C$93</f>
        <v>37537.23701359151</v>
      </c>
      <c r="E65" s="768"/>
      <c r="F65" s="768"/>
      <c r="G65" s="768"/>
      <c r="H65" s="768"/>
      <c r="I65" s="768"/>
      <c r="J65" s="768"/>
      <c r="K65" s="768"/>
      <c r="L65" s="768"/>
      <c r="M65" s="768"/>
      <c r="N65" s="446"/>
    </row>
    <row r="66" spans="1:14" ht="24">
      <c r="A66" s="766" t="s">
        <v>941</v>
      </c>
      <c r="B66" s="782" t="s">
        <v>151</v>
      </c>
      <c r="C66" s="237">
        <v>19355</v>
      </c>
      <c r="D66" s="237">
        <f>C66/$C$93</f>
        <v>4504.51498789797</v>
      </c>
      <c r="E66" s="768"/>
      <c r="F66" s="768"/>
      <c r="G66" s="768"/>
      <c r="H66" s="768"/>
      <c r="I66" s="768"/>
      <c r="J66" s="768"/>
      <c r="K66" s="768"/>
      <c r="L66" s="768"/>
      <c r="M66" s="768"/>
      <c r="N66" s="446"/>
    </row>
    <row r="67" spans="1:14" ht="24">
      <c r="A67" s="766" t="s">
        <v>941</v>
      </c>
      <c r="B67" s="783" t="s">
        <v>151</v>
      </c>
      <c r="C67" s="240">
        <v>82037</v>
      </c>
      <c r="D67" s="240">
        <f>C67/$C$93</f>
        <v>19092.580525041893</v>
      </c>
      <c r="E67" s="768"/>
      <c r="F67" s="768"/>
      <c r="G67" s="768"/>
      <c r="H67" s="768"/>
      <c r="I67" s="768"/>
      <c r="J67" s="768"/>
      <c r="K67" s="768"/>
      <c r="L67" s="768"/>
      <c r="M67" s="768"/>
      <c r="N67" s="446"/>
    </row>
    <row r="68" spans="1:14" ht="36">
      <c r="A68" s="766" t="s">
        <v>941</v>
      </c>
      <c r="B68" s="782" t="s">
        <v>112</v>
      </c>
      <c r="C68" s="236">
        <v>145161</v>
      </c>
      <c r="D68" s="237">
        <f>C68/$C$93</f>
        <v>33783.51331223236</v>
      </c>
      <c r="E68" s="768"/>
      <c r="F68" s="768"/>
      <c r="G68" s="768"/>
      <c r="H68" s="768"/>
      <c r="I68" s="768"/>
      <c r="J68" s="768"/>
      <c r="K68" s="768"/>
      <c r="L68" s="768"/>
      <c r="M68" s="768"/>
      <c r="N68" s="446"/>
    </row>
    <row r="69" spans="1:14" ht="15.75" customHeight="1">
      <c r="A69" s="766"/>
      <c r="B69" s="447" t="s">
        <v>174</v>
      </c>
      <c r="C69" s="236"/>
      <c r="D69" s="236">
        <f>SUM(D33:D63)</f>
        <v>4249512.939203128</v>
      </c>
      <c r="E69" s="768"/>
      <c r="F69" s="768"/>
      <c r="G69" s="768"/>
      <c r="H69" s="768"/>
      <c r="I69" s="768"/>
      <c r="J69" s="768"/>
      <c r="K69" s="768"/>
      <c r="L69" s="768"/>
      <c r="M69" s="768"/>
      <c r="N69" s="760"/>
    </row>
    <row r="70" spans="1:14" ht="12.75">
      <c r="A70" s="1208" t="s">
        <v>673</v>
      </c>
      <c r="B70" s="1209" t="s">
        <v>439</v>
      </c>
      <c r="C70" s="1208" t="s">
        <v>180</v>
      </c>
      <c r="D70" s="1212" t="s">
        <v>939</v>
      </c>
      <c r="E70" s="786"/>
      <c r="F70" s="1206">
        <v>2012</v>
      </c>
      <c r="G70" s="1206"/>
      <c r="H70" s="1206">
        <v>2013</v>
      </c>
      <c r="I70" s="1206"/>
      <c r="J70" s="1206">
        <v>2014</v>
      </c>
      <c r="K70" s="1206"/>
      <c r="L70" s="1206">
        <v>2015</v>
      </c>
      <c r="M70" s="1206"/>
      <c r="N70" s="1207" t="s">
        <v>515</v>
      </c>
    </row>
    <row r="71" spans="1:14" ht="12.75">
      <c r="A71" s="1208"/>
      <c r="B71" s="1210"/>
      <c r="C71" s="1208"/>
      <c r="D71" s="1213"/>
      <c r="E71" s="1208" t="s">
        <v>181</v>
      </c>
      <c r="F71" s="1208" t="s">
        <v>182</v>
      </c>
      <c r="G71" s="1208" t="s">
        <v>181</v>
      </c>
      <c r="H71" s="1208" t="s">
        <v>182</v>
      </c>
      <c r="I71" s="1208" t="s">
        <v>181</v>
      </c>
      <c r="J71" s="1208" t="s">
        <v>182</v>
      </c>
      <c r="K71" s="1208" t="s">
        <v>181</v>
      </c>
      <c r="L71" s="1208" t="s">
        <v>182</v>
      </c>
      <c r="M71" s="1208" t="s">
        <v>181</v>
      </c>
      <c r="N71" s="1207"/>
    </row>
    <row r="72" spans="1:14" ht="19.5" customHeight="1">
      <c r="A72" s="1208"/>
      <c r="B72" s="785" t="s">
        <v>549</v>
      </c>
      <c r="C72" s="1208"/>
      <c r="D72" s="1214"/>
      <c r="E72" s="1208"/>
      <c r="F72" s="1208"/>
      <c r="G72" s="1208"/>
      <c r="H72" s="1208"/>
      <c r="I72" s="1208"/>
      <c r="J72" s="1208"/>
      <c r="K72" s="1208"/>
      <c r="L72" s="1208"/>
      <c r="M72" s="1208"/>
      <c r="N72" s="1207"/>
    </row>
    <row r="73" spans="1:14" ht="48">
      <c r="A73" s="766" t="s">
        <v>941</v>
      </c>
      <c r="B73" s="783" t="s">
        <v>798</v>
      </c>
      <c r="C73" s="239"/>
      <c r="D73" s="801">
        <v>2813.2558139534885</v>
      </c>
      <c r="E73" s="767"/>
      <c r="F73" s="768"/>
      <c r="G73" s="768"/>
      <c r="H73" s="768"/>
      <c r="I73" s="767"/>
      <c r="J73" s="767"/>
      <c r="K73" s="767"/>
      <c r="L73" s="767"/>
      <c r="M73" s="767"/>
      <c r="N73" s="446" t="s">
        <v>196</v>
      </c>
    </row>
    <row r="74" spans="1:14" ht="54" customHeight="1">
      <c r="A74" s="766" t="s">
        <v>941</v>
      </c>
      <c r="B74" s="783" t="s">
        <v>792</v>
      </c>
      <c r="C74" s="239"/>
      <c r="D74" s="801">
        <v>187546.74418604653</v>
      </c>
      <c r="E74" s="767"/>
      <c r="F74" s="768"/>
      <c r="G74" s="768"/>
      <c r="H74" s="767"/>
      <c r="I74" s="767"/>
      <c r="J74" s="767"/>
      <c r="K74" s="767"/>
      <c r="L74" s="767"/>
      <c r="M74" s="767"/>
      <c r="N74" s="784" t="s">
        <v>193</v>
      </c>
    </row>
    <row r="75" spans="1:14" ht="66" customHeight="1">
      <c r="A75" s="766" t="s">
        <v>941</v>
      </c>
      <c r="B75" s="783" t="s">
        <v>620</v>
      </c>
      <c r="C75" s="239"/>
      <c r="D75" s="801">
        <v>84396.1</v>
      </c>
      <c r="E75" s="767"/>
      <c r="F75" s="768"/>
      <c r="G75" s="768"/>
      <c r="H75" s="767"/>
      <c r="I75" s="767"/>
      <c r="J75" s="767"/>
      <c r="K75" s="767"/>
      <c r="L75" s="767"/>
      <c r="M75" s="767"/>
      <c r="N75" s="784" t="s">
        <v>197</v>
      </c>
    </row>
    <row r="76" spans="1:14" ht="64.5" customHeight="1">
      <c r="A76" s="766" t="s">
        <v>941</v>
      </c>
      <c r="B76" s="783" t="s">
        <v>794</v>
      </c>
      <c r="C76" s="239"/>
      <c r="D76" s="801">
        <v>187546.74418604653</v>
      </c>
      <c r="E76" s="767"/>
      <c r="F76" s="768"/>
      <c r="G76" s="768"/>
      <c r="H76" s="767"/>
      <c r="I76" s="767"/>
      <c r="J76" s="767"/>
      <c r="K76" s="767"/>
      <c r="L76" s="767"/>
      <c r="M76" s="767"/>
      <c r="N76" s="784" t="s">
        <v>200</v>
      </c>
    </row>
    <row r="77" spans="1:14" ht="67.5" customHeight="1">
      <c r="A77" s="766" t="s">
        <v>941</v>
      </c>
      <c r="B77" s="783" t="s">
        <v>793</v>
      </c>
      <c r="C77" s="239"/>
      <c r="D77" s="801">
        <v>226931.73255813954</v>
      </c>
      <c r="E77" s="767"/>
      <c r="F77" s="768"/>
      <c r="G77" s="768"/>
      <c r="H77" s="768"/>
      <c r="I77" s="767"/>
      <c r="J77" s="767"/>
      <c r="K77" s="767"/>
      <c r="L77" s="767"/>
      <c r="M77" s="767"/>
      <c r="N77" s="784" t="s">
        <v>198</v>
      </c>
    </row>
    <row r="78" spans="1:14" ht="63" customHeight="1">
      <c r="A78" s="766" t="s">
        <v>941</v>
      </c>
      <c r="B78" s="238" t="s">
        <v>797</v>
      </c>
      <c r="C78" s="239"/>
      <c r="D78" s="801">
        <v>1406601.6279069767</v>
      </c>
      <c r="E78" s="767"/>
      <c r="F78" s="768"/>
      <c r="G78" s="768"/>
      <c r="H78" s="768"/>
      <c r="I78" s="767"/>
      <c r="J78" s="767"/>
      <c r="K78" s="767"/>
      <c r="L78" s="767"/>
      <c r="M78" s="767"/>
      <c r="N78" s="784" t="s">
        <v>194</v>
      </c>
    </row>
    <row r="79" spans="1:14" ht="81.75" customHeight="1">
      <c r="A79" s="766" t="s">
        <v>941</v>
      </c>
      <c r="B79" s="238" t="s">
        <v>621</v>
      </c>
      <c r="C79" s="239"/>
      <c r="D79" s="801">
        <v>165260.46511627908</v>
      </c>
      <c r="E79" s="767"/>
      <c r="F79" s="768"/>
      <c r="G79" s="768"/>
      <c r="H79" s="768"/>
      <c r="I79" s="767"/>
      <c r="J79" s="767"/>
      <c r="K79" s="767"/>
      <c r="L79" s="767"/>
      <c r="M79" s="767"/>
      <c r="N79" s="784" t="s">
        <v>198</v>
      </c>
    </row>
    <row r="80" spans="1:14" ht="75.75" customHeight="1">
      <c r="A80" s="766" t="s">
        <v>941</v>
      </c>
      <c r="B80" s="783" t="s">
        <v>796</v>
      </c>
      <c r="C80" s="239"/>
      <c r="D80" s="801">
        <v>50637.660465116285</v>
      </c>
      <c r="E80" s="767"/>
      <c r="F80" s="768"/>
      <c r="G80" s="768"/>
      <c r="H80" s="768"/>
      <c r="I80" s="767"/>
      <c r="J80" s="767"/>
      <c r="K80" s="767"/>
      <c r="L80" s="767"/>
      <c r="M80" s="767"/>
      <c r="N80" s="784" t="s">
        <v>195</v>
      </c>
    </row>
    <row r="81" spans="1:14" ht="61.5" customHeight="1">
      <c r="A81" s="766" t="s">
        <v>941</v>
      </c>
      <c r="B81" s="783" t="s">
        <v>795</v>
      </c>
      <c r="C81" s="239"/>
      <c r="D81" s="801">
        <v>116279.06976744186</v>
      </c>
      <c r="E81" s="767"/>
      <c r="F81" s="768"/>
      <c r="G81" s="768"/>
      <c r="H81" s="768"/>
      <c r="I81" s="767"/>
      <c r="J81" s="767"/>
      <c r="K81" s="767"/>
      <c r="L81" s="767"/>
      <c r="M81" s="767"/>
      <c r="N81" s="784" t="s">
        <v>202</v>
      </c>
    </row>
    <row r="82" spans="1:14" ht="19.5" customHeight="1" thickBot="1">
      <c r="A82" s="791"/>
      <c r="B82" s="815" t="s">
        <v>174</v>
      </c>
      <c r="C82" s="806"/>
      <c r="D82" s="807">
        <f>SUM(D73:D81)</f>
        <v>2428013.4000000004</v>
      </c>
      <c r="E82" s="1195"/>
      <c r="F82" s="1196"/>
      <c r="G82" s="1196"/>
      <c r="H82" s="1196"/>
      <c r="I82" s="1196"/>
      <c r="J82" s="1196"/>
      <c r="K82" s="1196"/>
      <c r="L82" s="1196"/>
      <c r="M82" s="1197"/>
      <c r="N82" s="792"/>
    </row>
    <row r="83" spans="1:14" ht="19.5" customHeight="1">
      <c r="A83" s="825"/>
      <c r="B83" s="817"/>
      <c r="C83" s="818"/>
      <c r="D83" s="819"/>
      <c r="E83" s="790"/>
      <c r="F83" s="793"/>
      <c r="G83" s="793"/>
      <c r="H83" s="793"/>
      <c r="I83" s="793"/>
      <c r="J83" s="793"/>
      <c r="K83" s="793"/>
      <c r="L83" s="793"/>
      <c r="M83" s="793"/>
      <c r="N83" s="763"/>
    </row>
    <row r="84" spans="1:14" ht="18" customHeight="1">
      <c r="A84" s="821"/>
      <c r="B84" s="822"/>
      <c r="C84" s="823"/>
      <c r="D84" s="824"/>
      <c r="E84" s="790"/>
      <c r="F84" s="793"/>
      <c r="G84" s="793"/>
      <c r="H84" s="793"/>
      <c r="I84" s="793"/>
      <c r="J84" s="793"/>
      <c r="K84" s="793"/>
      <c r="L84" s="793"/>
      <c r="M84" s="793"/>
      <c r="N84" s="763"/>
    </row>
    <row r="85" spans="1:14" ht="27" customHeight="1">
      <c r="A85" s="820"/>
      <c r="B85" s="787" t="s">
        <v>175</v>
      </c>
      <c r="C85" s="769">
        <f>SUM(C10:C63)</f>
        <v>15071243.669999998</v>
      </c>
      <c r="D85" s="770">
        <f>SUM(D8:D28)</f>
        <v>37198526.748209074</v>
      </c>
      <c r="E85" s="761"/>
      <c r="F85" s="761"/>
      <c r="G85" s="761"/>
      <c r="H85" s="761"/>
      <c r="I85" s="761"/>
      <c r="J85" s="761"/>
      <c r="K85" s="761"/>
      <c r="L85" s="761"/>
      <c r="M85" s="761"/>
      <c r="N85" s="763"/>
    </row>
    <row r="86" spans="1:14" ht="27" customHeight="1">
      <c r="A86" s="820"/>
      <c r="B86" s="788" t="s">
        <v>176</v>
      </c>
      <c r="C86" s="771">
        <f>SUM(C11:C60)</f>
        <v>14473418.349999998</v>
      </c>
      <c r="D86" s="772">
        <f>SUM(D33:D63)</f>
        <v>4249512.939203128</v>
      </c>
      <c r="E86" s="761"/>
      <c r="F86" s="761"/>
      <c r="G86" s="761"/>
      <c r="H86" s="761"/>
      <c r="I86" s="761"/>
      <c r="K86" s="761"/>
      <c r="L86" s="761"/>
      <c r="M86" s="761"/>
      <c r="N86" s="763"/>
    </row>
    <row r="87" spans="1:14" ht="26.25" customHeight="1">
      <c r="A87" s="820"/>
      <c r="B87" s="789" t="s">
        <v>177</v>
      </c>
      <c r="C87" s="769">
        <f>C49</f>
        <v>129032.25</v>
      </c>
      <c r="D87" s="773">
        <f>D82</f>
        <v>2428013.4000000004</v>
      </c>
      <c r="E87" s="761"/>
      <c r="F87" s="761"/>
      <c r="G87" s="761"/>
      <c r="H87" s="761"/>
      <c r="I87" s="761"/>
      <c r="J87" s="761"/>
      <c r="K87" s="761"/>
      <c r="L87" s="761"/>
      <c r="M87" s="761"/>
      <c r="N87" s="763"/>
    </row>
    <row r="88" spans="1:14" ht="23.25" customHeight="1">
      <c r="A88" s="820"/>
      <c r="B88" s="816" t="s">
        <v>178</v>
      </c>
      <c r="C88" s="774">
        <f>SUM(C85:C87)</f>
        <v>29673694.269999996</v>
      </c>
      <c r="D88" s="775">
        <f>SUM(D85:D87)</f>
        <v>43876053.0874122</v>
      </c>
      <c r="E88" s="761"/>
      <c r="F88" s="761"/>
      <c r="G88" s="761"/>
      <c r="H88" s="761"/>
      <c r="I88" s="761"/>
      <c r="J88" s="761"/>
      <c r="K88" s="761"/>
      <c r="L88" s="761"/>
      <c r="M88" s="761"/>
      <c r="N88" s="763"/>
    </row>
    <row r="89" spans="1:14" ht="34.5" customHeight="1">
      <c r="A89" s="761"/>
      <c r="B89" s="761"/>
      <c r="C89" s="790"/>
      <c r="D89" s="790"/>
      <c r="E89" s="790"/>
      <c r="F89" s="761"/>
      <c r="G89" s="761"/>
      <c r="H89" s="761"/>
      <c r="I89" s="761"/>
      <c r="J89" s="761"/>
      <c r="K89" s="761"/>
      <c r="L89" s="761"/>
      <c r="M89" s="761"/>
      <c r="N89" s="763"/>
    </row>
    <row r="90" spans="1:14" ht="12.75">
      <c r="A90" s="761"/>
      <c r="B90" s="761"/>
      <c r="C90" s="790"/>
      <c r="D90" s="790"/>
      <c r="E90" s="790"/>
      <c r="F90" s="761"/>
      <c r="G90" s="761"/>
      <c r="H90" s="761"/>
      <c r="I90" s="761"/>
      <c r="J90" s="761"/>
      <c r="K90" s="761"/>
      <c r="L90" s="761"/>
      <c r="M90" s="761"/>
      <c r="N90" s="763"/>
    </row>
    <row r="91" spans="1:14" ht="12.75">
      <c r="A91" s="761"/>
      <c r="B91" s="761"/>
      <c r="C91" s="790"/>
      <c r="D91" s="790"/>
      <c r="E91" s="790"/>
      <c r="F91" s="761"/>
      <c r="G91" s="761"/>
      <c r="H91" s="761"/>
      <c r="I91" s="761"/>
      <c r="J91" s="761"/>
      <c r="K91" s="761"/>
      <c r="L91" s="761"/>
      <c r="M91" s="761"/>
      <c r="N91" s="763"/>
    </row>
    <row r="92" spans="1:14" ht="12.75">
      <c r="A92" s="761"/>
      <c r="B92" s="761"/>
      <c r="C92" s="790"/>
      <c r="D92" s="790"/>
      <c r="E92" s="790"/>
      <c r="F92" s="761"/>
      <c r="G92" s="761"/>
      <c r="H92" s="761"/>
      <c r="I92" s="761"/>
      <c r="J92" s="761"/>
      <c r="K92" s="761"/>
      <c r="L92" s="761"/>
      <c r="M92" s="761"/>
      <c r="N92" s="763"/>
    </row>
    <row r="93" spans="1:14" ht="201" customHeight="1" thickBot="1">
      <c r="A93" s="761"/>
      <c r="B93" s="761"/>
      <c r="C93" s="797">
        <v>4.2968</v>
      </c>
      <c r="D93" s="790"/>
      <c r="E93" s="790"/>
      <c r="F93" s="761"/>
      <c r="G93" s="761"/>
      <c r="H93" s="761"/>
      <c r="I93" s="761"/>
      <c r="J93" s="761"/>
      <c r="K93" s="761"/>
      <c r="L93" s="761"/>
      <c r="M93" s="761"/>
      <c r="N93" s="763"/>
    </row>
    <row r="94" spans="1:14" ht="12.75">
      <c r="A94" s="1229" t="s">
        <v>673</v>
      </c>
      <c r="B94" s="1198" t="s">
        <v>671</v>
      </c>
      <c r="C94" s="1231" t="s">
        <v>180</v>
      </c>
      <c r="D94" s="1199" t="s">
        <v>939</v>
      </c>
      <c r="E94" s="795"/>
      <c r="F94" s="1205">
        <v>2012</v>
      </c>
      <c r="G94" s="1205"/>
      <c r="H94" s="1205">
        <v>2013</v>
      </c>
      <c r="I94" s="1205"/>
      <c r="J94" s="1205">
        <v>2014</v>
      </c>
      <c r="K94" s="1205"/>
      <c r="L94" s="1205">
        <v>2015</v>
      </c>
      <c r="M94" s="1205"/>
      <c r="N94" s="1226" t="s">
        <v>515</v>
      </c>
    </row>
    <row r="95" spans="1:14" ht="12.75">
      <c r="A95" s="1230"/>
      <c r="B95" s="1179"/>
      <c r="C95" s="1225"/>
      <c r="D95" s="1200"/>
      <c r="E95" s="1225" t="s">
        <v>181</v>
      </c>
      <c r="F95" s="1225" t="s">
        <v>182</v>
      </c>
      <c r="G95" s="1225" t="s">
        <v>181</v>
      </c>
      <c r="H95" s="1225" t="s">
        <v>182</v>
      </c>
      <c r="I95" s="1225" t="s">
        <v>181</v>
      </c>
      <c r="J95" s="1225" t="s">
        <v>182</v>
      </c>
      <c r="K95" s="1225" t="s">
        <v>181</v>
      </c>
      <c r="L95" s="1225" t="s">
        <v>182</v>
      </c>
      <c r="M95" s="1225" t="s">
        <v>181</v>
      </c>
      <c r="N95" s="1227"/>
    </row>
    <row r="96" spans="1:14" ht="17.25" customHeight="1">
      <c r="A96" s="1230"/>
      <c r="B96" s="780" t="s">
        <v>549</v>
      </c>
      <c r="C96" s="1225"/>
      <c r="D96" s="1201"/>
      <c r="E96" s="1225"/>
      <c r="F96" s="1225"/>
      <c r="G96" s="1225"/>
      <c r="H96" s="1225"/>
      <c r="I96" s="1225"/>
      <c r="J96" s="1225"/>
      <c r="K96" s="1225"/>
      <c r="L96" s="1225"/>
      <c r="M96" s="1225"/>
      <c r="N96" s="1228"/>
    </row>
    <row r="97" spans="1:14" ht="86.25" customHeight="1">
      <c r="A97" s="766" t="s">
        <v>71</v>
      </c>
      <c r="B97" s="241" t="s">
        <v>639</v>
      </c>
      <c r="C97" s="799">
        <v>4178050</v>
      </c>
      <c r="D97" s="799">
        <v>4178050</v>
      </c>
      <c r="E97" s="242"/>
      <c r="F97" s="242"/>
      <c r="G97" s="242"/>
      <c r="H97" s="241"/>
      <c r="I97" s="241"/>
      <c r="J97" s="241"/>
      <c r="K97" s="241"/>
      <c r="L97" s="241"/>
      <c r="M97" s="241"/>
      <c r="N97" s="869"/>
    </row>
    <row r="98" spans="1:14" ht="89.25" customHeight="1">
      <c r="A98" s="766" t="s">
        <v>71</v>
      </c>
      <c r="B98" s="241" t="s">
        <v>640</v>
      </c>
      <c r="C98" s="798" t="s">
        <v>628</v>
      </c>
      <c r="D98" s="799">
        <v>5799508.48</v>
      </c>
      <c r="E98" s="241"/>
      <c r="F98" s="241"/>
      <c r="G98" s="241"/>
      <c r="H98" s="242"/>
      <c r="I98" s="242"/>
      <c r="J98" s="242"/>
      <c r="K98" s="242"/>
      <c r="L98" s="241"/>
      <c r="M98" s="764"/>
      <c r="N98" s="869"/>
    </row>
    <row r="99" spans="1:14" ht="87" customHeight="1">
      <c r="A99" s="766" t="s">
        <v>71</v>
      </c>
      <c r="B99" s="241" t="s">
        <v>641</v>
      </c>
      <c r="C99" s="799">
        <v>3300000</v>
      </c>
      <c r="D99" s="799">
        <v>3300000</v>
      </c>
      <c r="E99" s="241"/>
      <c r="F99" s="241"/>
      <c r="G99" s="241"/>
      <c r="H99" s="241"/>
      <c r="I99" s="241"/>
      <c r="J99" s="241"/>
      <c r="K99" s="241"/>
      <c r="L99" s="242"/>
      <c r="M99" s="242"/>
      <c r="N99" s="869"/>
    </row>
    <row r="100" spans="1:14" ht="87.75" customHeight="1">
      <c r="A100" s="766" t="s">
        <v>71</v>
      </c>
      <c r="B100" s="241" t="s">
        <v>642</v>
      </c>
      <c r="C100" s="799">
        <v>120000</v>
      </c>
      <c r="D100" s="799">
        <v>120000</v>
      </c>
      <c r="E100" s="242"/>
      <c r="F100" s="242"/>
      <c r="G100" s="242"/>
      <c r="H100" s="241"/>
      <c r="I100" s="241"/>
      <c r="J100" s="241"/>
      <c r="K100" s="241"/>
      <c r="L100" s="241"/>
      <c r="M100" s="241"/>
      <c r="N100" s="869"/>
    </row>
    <row r="101" spans="1:14" ht="89.25" customHeight="1">
      <c r="A101" s="766" t="s">
        <v>71</v>
      </c>
      <c r="B101" s="241" t="s">
        <v>643</v>
      </c>
      <c r="C101" s="799">
        <v>120000</v>
      </c>
      <c r="D101" s="799">
        <v>120000</v>
      </c>
      <c r="E101" s="241"/>
      <c r="F101" s="241"/>
      <c r="G101" s="241"/>
      <c r="H101" s="242"/>
      <c r="I101" s="242"/>
      <c r="J101" s="242"/>
      <c r="K101" s="242"/>
      <c r="L101" s="241"/>
      <c r="M101" s="241"/>
      <c r="N101" s="869"/>
    </row>
    <row r="102" spans="1:14" ht="90.75" customHeight="1">
      <c r="A102" s="766" t="s">
        <v>71</v>
      </c>
      <c r="B102" s="241" t="s">
        <v>644</v>
      </c>
      <c r="C102" s="799">
        <v>87500</v>
      </c>
      <c r="D102" s="243">
        <v>87500</v>
      </c>
      <c r="E102" s="241"/>
      <c r="F102" s="241"/>
      <c r="G102" s="241"/>
      <c r="H102" s="241"/>
      <c r="I102" s="241"/>
      <c r="J102" s="241"/>
      <c r="K102" s="241"/>
      <c r="L102" s="242"/>
      <c r="M102" s="242"/>
      <c r="N102" s="869"/>
    </row>
    <row r="103" spans="1:14" ht="24">
      <c r="A103" s="766" t="s">
        <v>71</v>
      </c>
      <c r="B103" s="231" t="s">
        <v>174</v>
      </c>
      <c r="C103" s="448">
        <v>13605058.48</v>
      </c>
      <c r="D103" s="449">
        <f>SUM(D97:D102)</f>
        <v>13605058.48</v>
      </c>
      <c r="E103" s="241"/>
      <c r="F103" s="241"/>
      <c r="G103" s="241"/>
      <c r="H103" s="241"/>
      <c r="I103" s="241"/>
      <c r="J103" s="241"/>
      <c r="K103" s="241"/>
      <c r="L103" s="241"/>
      <c r="M103" s="764"/>
      <c r="N103" s="794"/>
    </row>
    <row r="104" spans="1:14" ht="90" customHeight="1">
      <c r="A104" s="766" t="s">
        <v>81</v>
      </c>
      <c r="B104" s="241" t="s">
        <v>634</v>
      </c>
      <c r="C104" s="798" t="s">
        <v>73</v>
      </c>
      <c r="D104" s="243">
        <v>3040000</v>
      </c>
      <c r="E104" s="242"/>
      <c r="F104" s="242"/>
      <c r="G104" s="242"/>
      <c r="H104" s="241"/>
      <c r="I104" s="241"/>
      <c r="J104" s="241"/>
      <c r="K104" s="241"/>
      <c r="L104" s="241"/>
      <c r="M104" s="241"/>
      <c r="N104" s="869"/>
    </row>
    <row r="105" spans="1:14" ht="88.5" customHeight="1">
      <c r="A105" s="766" t="s">
        <v>81</v>
      </c>
      <c r="B105" s="241" t="s">
        <v>636</v>
      </c>
      <c r="C105" s="798" t="s">
        <v>74</v>
      </c>
      <c r="D105" s="243">
        <v>3144000</v>
      </c>
      <c r="E105" s="241"/>
      <c r="F105" s="241"/>
      <c r="G105" s="241"/>
      <c r="H105" s="242"/>
      <c r="I105" s="242"/>
      <c r="J105" s="242"/>
      <c r="K105" s="242"/>
      <c r="L105" s="241"/>
      <c r="M105" s="241"/>
      <c r="N105" s="869"/>
    </row>
    <row r="106" spans="1:14" ht="88.5" customHeight="1">
      <c r="A106" s="766" t="s">
        <v>81</v>
      </c>
      <c r="B106" s="241" t="s">
        <v>635</v>
      </c>
      <c r="C106" s="798" t="s">
        <v>74</v>
      </c>
      <c r="D106" s="243">
        <v>3144000</v>
      </c>
      <c r="E106" s="241"/>
      <c r="F106" s="241"/>
      <c r="G106" s="241"/>
      <c r="H106" s="241"/>
      <c r="I106" s="241"/>
      <c r="J106" s="241"/>
      <c r="K106" s="241"/>
      <c r="L106" s="242"/>
      <c r="M106" s="242"/>
      <c r="N106" s="869"/>
    </row>
    <row r="107" spans="1:14" ht="75" customHeight="1">
      <c r="A107" s="766" t="s">
        <v>81</v>
      </c>
      <c r="B107" s="241" t="s">
        <v>75</v>
      </c>
      <c r="C107" s="798" t="s">
        <v>564</v>
      </c>
      <c r="D107" s="243">
        <v>1585000</v>
      </c>
      <c r="E107" s="242"/>
      <c r="F107" s="242"/>
      <c r="G107" s="242"/>
      <c r="H107" s="241"/>
      <c r="I107" s="241"/>
      <c r="J107" s="241"/>
      <c r="K107" s="241"/>
      <c r="L107" s="241"/>
      <c r="M107" s="241"/>
      <c r="N107" s="869"/>
    </row>
    <row r="108" spans="1:14" ht="75" customHeight="1">
      <c r="A108" s="766" t="s">
        <v>81</v>
      </c>
      <c r="B108" s="241" t="s">
        <v>76</v>
      </c>
      <c r="C108" s="798" t="s">
        <v>77</v>
      </c>
      <c r="D108" s="243">
        <v>292000</v>
      </c>
      <c r="E108" s="241"/>
      <c r="F108" s="241"/>
      <c r="G108" s="241"/>
      <c r="H108" s="242"/>
      <c r="I108" s="242"/>
      <c r="J108" s="242"/>
      <c r="K108" s="242"/>
      <c r="L108" s="241"/>
      <c r="M108" s="241"/>
      <c r="N108" s="869"/>
    </row>
    <row r="109" spans="1:14" ht="76.5" customHeight="1">
      <c r="A109" s="766" t="s">
        <v>81</v>
      </c>
      <c r="B109" s="241" t="s">
        <v>78</v>
      </c>
      <c r="C109" s="798" t="s">
        <v>79</v>
      </c>
      <c r="D109" s="243">
        <v>160000</v>
      </c>
      <c r="E109" s="241"/>
      <c r="F109" s="241"/>
      <c r="G109" s="241"/>
      <c r="H109" s="241"/>
      <c r="I109" s="241"/>
      <c r="J109" s="241"/>
      <c r="K109" s="241"/>
      <c r="L109" s="242"/>
      <c r="M109" s="242"/>
      <c r="N109" s="869"/>
    </row>
    <row r="110" spans="1:14" ht="24">
      <c r="A110" s="766" t="s">
        <v>81</v>
      </c>
      <c r="B110" s="231" t="s">
        <v>174</v>
      </c>
      <c r="C110" s="796" t="s">
        <v>80</v>
      </c>
      <c r="D110" s="449">
        <f>SUM(D104:D109)</f>
        <v>11365000</v>
      </c>
      <c r="E110" s="241"/>
      <c r="F110" s="241"/>
      <c r="G110" s="241"/>
      <c r="H110" s="241"/>
      <c r="I110" s="241"/>
      <c r="J110" s="241"/>
      <c r="K110" s="241"/>
      <c r="L110" s="241"/>
      <c r="M110" s="764"/>
      <c r="N110" s="794"/>
    </row>
    <row r="111" spans="1:14" ht="51.75" customHeight="1">
      <c r="A111" s="766" t="s">
        <v>83</v>
      </c>
      <c r="B111" s="241" t="s">
        <v>82</v>
      </c>
      <c r="C111" s="243">
        <v>2236470</v>
      </c>
      <c r="D111" s="243">
        <v>2236470</v>
      </c>
      <c r="E111" s="242"/>
      <c r="F111" s="242"/>
      <c r="G111" s="242"/>
      <c r="H111" s="241"/>
      <c r="I111" s="241"/>
      <c r="J111" s="241"/>
      <c r="K111" s="241"/>
      <c r="L111" s="241"/>
      <c r="M111" s="241"/>
      <c r="N111" s="869"/>
    </row>
    <row r="112" spans="1:14" ht="51.75" customHeight="1">
      <c r="A112" s="766" t="s">
        <v>83</v>
      </c>
      <c r="B112" s="241" t="s">
        <v>547</v>
      </c>
      <c r="C112" s="243">
        <v>2592358</v>
      </c>
      <c r="D112" s="243">
        <v>2592358</v>
      </c>
      <c r="E112" s="241"/>
      <c r="F112" s="241"/>
      <c r="G112" s="241"/>
      <c r="H112" s="242"/>
      <c r="I112" s="242"/>
      <c r="J112" s="242"/>
      <c r="K112" s="242"/>
      <c r="L112" s="241"/>
      <c r="M112" s="241"/>
      <c r="N112" s="869"/>
    </row>
    <row r="113" spans="1:14" ht="52.5" customHeight="1">
      <c r="A113" s="766" t="s">
        <v>83</v>
      </c>
      <c r="B113" s="241" t="s">
        <v>84</v>
      </c>
      <c r="C113" s="243">
        <v>1493692</v>
      </c>
      <c r="D113" s="243">
        <v>1493692</v>
      </c>
      <c r="E113" s="241"/>
      <c r="F113" s="241"/>
      <c r="G113" s="241"/>
      <c r="H113" s="241"/>
      <c r="I113" s="241"/>
      <c r="J113" s="241"/>
      <c r="K113" s="241"/>
      <c r="L113" s="242"/>
      <c r="M113" s="242"/>
      <c r="N113" s="869"/>
    </row>
    <row r="114" spans="1:14" ht="27" customHeight="1">
      <c r="A114" s="766" t="s">
        <v>83</v>
      </c>
      <c r="B114" s="241" t="s">
        <v>566</v>
      </c>
      <c r="C114" s="243">
        <v>105000</v>
      </c>
      <c r="D114" s="243">
        <v>105000</v>
      </c>
      <c r="E114" s="242"/>
      <c r="F114" s="241"/>
      <c r="G114" s="241"/>
      <c r="H114" s="241"/>
      <c r="I114" s="241"/>
      <c r="J114" s="241"/>
      <c r="K114" s="241"/>
      <c r="L114" s="241"/>
      <c r="M114" s="241"/>
      <c r="N114" s="869"/>
    </row>
    <row r="115" spans="1:14" ht="28.5" customHeight="1">
      <c r="A115" s="766" t="s">
        <v>83</v>
      </c>
      <c r="B115" s="241" t="s">
        <v>567</v>
      </c>
      <c r="C115" s="243">
        <v>85000</v>
      </c>
      <c r="D115" s="243">
        <v>85000</v>
      </c>
      <c r="E115" s="241"/>
      <c r="F115" s="242"/>
      <c r="G115" s="242"/>
      <c r="H115" s="241"/>
      <c r="I115" s="241"/>
      <c r="J115" s="241"/>
      <c r="K115" s="241"/>
      <c r="L115" s="241"/>
      <c r="M115" s="241"/>
      <c r="N115" s="869"/>
    </row>
    <row r="116" spans="1:14" ht="26.25" customHeight="1">
      <c r="A116" s="766" t="s">
        <v>83</v>
      </c>
      <c r="B116" s="241" t="s">
        <v>568</v>
      </c>
      <c r="C116" s="243">
        <v>50000</v>
      </c>
      <c r="D116" s="243">
        <v>50000</v>
      </c>
      <c r="E116" s="241"/>
      <c r="F116" s="241"/>
      <c r="G116" s="241"/>
      <c r="H116" s="242"/>
      <c r="I116" s="242"/>
      <c r="J116" s="242"/>
      <c r="K116" s="242"/>
      <c r="L116" s="242"/>
      <c r="M116" s="242"/>
      <c r="N116" s="869"/>
    </row>
    <row r="117" spans="1:14" ht="19.5" customHeight="1">
      <c r="A117" s="766" t="s">
        <v>83</v>
      </c>
      <c r="B117" s="231" t="s">
        <v>174</v>
      </c>
      <c r="C117" s="796" t="s">
        <v>548</v>
      </c>
      <c r="D117" s="448">
        <f>SUM(D111:D116)</f>
        <v>6562520</v>
      </c>
      <c r="E117" s="241"/>
      <c r="F117" s="241"/>
      <c r="G117" s="241"/>
      <c r="H117" s="241"/>
      <c r="I117" s="241"/>
      <c r="J117" s="241"/>
      <c r="K117" s="241"/>
      <c r="L117" s="241"/>
      <c r="M117" s="241"/>
      <c r="N117" s="794"/>
    </row>
    <row r="118" spans="1:14" ht="75.75" customHeight="1">
      <c r="A118" s="766" t="s">
        <v>559</v>
      </c>
      <c r="B118" s="241" t="s">
        <v>629</v>
      </c>
      <c r="C118" s="798" t="s">
        <v>550</v>
      </c>
      <c r="D118" s="799">
        <v>3910400</v>
      </c>
      <c r="E118" s="242"/>
      <c r="F118" s="242"/>
      <c r="G118" s="242"/>
      <c r="H118" s="241"/>
      <c r="I118" s="241"/>
      <c r="J118" s="241"/>
      <c r="K118" s="241"/>
      <c r="L118" s="241"/>
      <c r="M118" s="241"/>
      <c r="N118" s="869"/>
    </row>
    <row r="119" spans="1:14" ht="78.75" customHeight="1">
      <c r="A119" s="766" t="s">
        <v>559</v>
      </c>
      <c r="B119" s="241" t="s">
        <v>638</v>
      </c>
      <c r="C119" s="798" t="s">
        <v>551</v>
      </c>
      <c r="D119" s="799">
        <v>3880000</v>
      </c>
      <c r="E119" s="241"/>
      <c r="F119" s="241"/>
      <c r="G119" s="241"/>
      <c r="H119" s="242"/>
      <c r="I119" s="242"/>
      <c r="J119" s="242"/>
      <c r="K119" s="242"/>
      <c r="L119" s="241"/>
      <c r="M119" s="241"/>
      <c r="N119" s="869"/>
    </row>
    <row r="120" spans="1:14" ht="77.25" customHeight="1">
      <c r="A120" s="766" t="s">
        <v>559</v>
      </c>
      <c r="B120" s="241" t="s">
        <v>629</v>
      </c>
      <c r="C120" s="798" t="s">
        <v>565</v>
      </c>
      <c r="D120" s="799">
        <v>2080000</v>
      </c>
      <c r="E120" s="241"/>
      <c r="F120" s="241"/>
      <c r="G120" s="241"/>
      <c r="H120" s="241"/>
      <c r="I120" s="241"/>
      <c r="J120" s="241"/>
      <c r="K120" s="241"/>
      <c r="L120" s="242"/>
      <c r="M120" s="242"/>
      <c r="N120" s="869"/>
    </row>
    <row r="121" spans="1:14" ht="78" customHeight="1">
      <c r="A121" s="766" t="s">
        <v>559</v>
      </c>
      <c r="B121" s="241" t="s">
        <v>552</v>
      </c>
      <c r="C121" s="798" t="s">
        <v>553</v>
      </c>
      <c r="D121" s="799">
        <v>234781</v>
      </c>
      <c r="E121" s="242"/>
      <c r="F121" s="242"/>
      <c r="G121" s="242"/>
      <c r="H121" s="241"/>
      <c r="I121" s="241"/>
      <c r="J121" s="241"/>
      <c r="K121" s="241"/>
      <c r="L121" s="241"/>
      <c r="M121" s="241"/>
      <c r="N121" s="869"/>
    </row>
    <row r="122" spans="1:14" ht="76.5" customHeight="1">
      <c r="A122" s="766" t="s">
        <v>559</v>
      </c>
      <c r="B122" s="241" t="s">
        <v>554</v>
      </c>
      <c r="C122" s="798" t="s">
        <v>555</v>
      </c>
      <c r="D122" s="799">
        <v>180000</v>
      </c>
      <c r="E122" s="241"/>
      <c r="F122" s="241"/>
      <c r="G122" s="241"/>
      <c r="H122" s="242"/>
      <c r="I122" s="242"/>
      <c r="J122" s="242"/>
      <c r="K122" s="242"/>
      <c r="L122" s="241"/>
      <c r="M122" s="241"/>
      <c r="N122" s="869"/>
    </row>
    <row r="123" spans="1:14" ht="75.75" customHeight="1">
      <c r="A123" s="766" t="s">
        <v>559</v>
      </c>
      <c r="B123" s="241" t="s">
        <v>556</v>
      </c>
      <c r="C123" s="798" t="s">
        <v>557</v>
      </c>
      <c r="D123" s="799">
        <v>80000</v>
      </c>
      <c r="E123" s="241"/>
      <c r="F123" s="241"/>
      <c r="G123" s="241"/>
      <c r="H123" s="241"/>
      <c r="I123" s="241"/>
      <c r="J123" s="241"/>
      <c r="K123" s="241"/>
      <c r="L123" s="242"/>
      <c r="M123" s="242"/>
      <c r="N123" s="869"/>
    </row>
    <row r="124" spans="1:14" ht="38.25" customHeight="1">
      <c r="A124" s="766" t="s">
        <v>559</v>
      </c>
      <c r="B124" s="231" t="s">
        <v>174</v>
      </c>
      <c r="C124" s="796" t="s">
        <v>558</v>
      </c>
      <c r="D124" s="448">
        <f>SUM(D118:D123)</f>
        <v>10365181</v>
      </c>
      <c r="E124" s="241"/>
      <c r="F124" s="241"/>
      <c r="G124" s="241"/>
      <c r="H124" s="241"/>
      <c r="I124" s="241"/>
      <c r="J124" s="241"/>
      <c r="K124" s="241"/>
      <c r="L124" s="241"/>
      <c r="M124" s="241"/>
      <c r="N124" s="794"/>
    </row>
    <row r="125" spans="1:14" ht="171.75" customHeight="1">
      <c r="A125" s="800" t="s">
        <v>563</v>
      </c>
      <c r="B125" s="241" t="s">
        <v>630</v>
      </c>
      <c r="C125" s="243">
        <v>2000000</v>
      </c>
      <c r="D125" s="243">
        <v>2000000</v>
      </c>
      <c r="E125" s="244"/>
      <c r="F125" s="244"/>
      <c r="G125" s="244"/>
      <c r="H125" s="241"/>
      <c r="I125" s="241"/>
      <c r="J125" s="241"/>
      <c r="K125" s="241"/>
      <c r="L125" s="241"/>
      <c r="M125" s="241"/>
      <c r="N125" s="450" t="s">
        <v>942</v>
      </c>
    </row>
    <row r="126" spans="1:14" ht="51" customHeight="1">
      <c r="A126" s="766" t="s">
        <v>563</v>
      </c>
      <c r="B126" s="241" t="s">
        <v>72</v>
      </c>
      <c r="C126" s="243">
        <v>2500000</v>
      </c>
      <c r="D126" s="243">
        <v>2500000</v>
      </c>
      <c r="E126" s="241"/>
      <c r="F126" s="241"/>
      <c r="G126" s="241"/>
      <c r="H126" s="244"/>
      <c r="I126" s="244"/>
      <c r="J126" s="244"/>
      <c r="K126" s="244"/>
      <c r="L126" s="241"/>
      <c r="M126" s="241"/>
      <c r="N126" s="446"/>
    </row>
    <row r="127" spans="1:14" ht="39.75" customHeight="1">
      <c r="A127" s="766" t="s">
        <v>563</v>
      </c>
      <c r="B127" s="241" t="s">
        <v>631</v>
      </c>
      <c r="C127" s="243">
        <v>1400000</v>
      </c>
      <c r="D127" s="243">
        <v>1400000</v>
      </c>
      <c r="E127" s="241"/>
      <c r="F127" s="241"/>
      <c r="G127" s="241"/>
      <c r="H127" s="241"/>
      <c r="I127" s="241"/>
      <c r="J127" s="241"/>
      <c r="K127" s="241"/>
      <c r="L127" s="244"/>
      <c r="M127" s="244"/>
      <c r="N127" s="446"/>
    </row>
    <row r="128" spans="1:14" ht="75" customHeight="1">
      <c r="A128" s="766" t="s">
        <v>563</v>
      </c>
      <c r="B128" s="241" t="s">
        <v>560</v>
      </c>
      <c r="C128" s="243">
        <v>150000</v>
      </c>
      <c r="D128" s="243">
        <v>150000</v>
      </c>
      <c r="E128" s="244"/>
      <c r="F128" s="244"/>
      <c r="G128" s="244"/>
      <c r="H128" s="241"/>
      <c r="I128" s="241"/>
      <c r="J128" s="241"/>
      <c r="K128" s="241"/>
      <c r="L128" s="241"/>
      <c r="M128" s="241"/>
      <c r="N128" s="446"/>
    </row>
    <row r="129" spans="1:14" ht="75" customHeight="1">
      <c r="A129" s="766" t="s">
        <v>563</v>
      </c>
      <c r="B129" s="241" t="s">
        <v>561</v>
      </c>
      <c r="C129" s="243">
        <v>200000</v>
      </c>
      <c r="D129" s="243">
        <v>200000</v>
      </c>
      <c r="E129" s="241"/>
      <c r="F129" s="241"/>
      <c r="G129" s="241"/>
      <c r="H129" s="244"/>
      <c r="I129" s="244"/>
      <c r="J129" s="244"/>
      <c r="K129" s="244"/>
      <c r="L129" s="241"/>
      <c r="M129" s="241"/>
      <c r="N129" s="446"/>
    </row>
    <row r="130" spans="1:14" ht="78.75" customHeight="1">
      <c r="A130" s="766" t="s">
        <v>563</v>
      </c>
      <c r="B130" s="241" t="s">
        <v>562</v>
      </c>
      <c r="C130" s="243">
        <v>100000</v>
      </c>
      <c r="D130" s="243">
        <v>100000</v>
      </c>
      <c r="E130" s="241"/>
      <c r="F130" s="241"/>
      <c r="G130" s="241"/>
      <c r="H130" s="241"/>
      <c r="I130" s="241"/>
      <c r="J130" s="241"/>
      <c r="K130" s="241"/>
      <c r="L130" s="244"/>
      <c r="M130" s="244"/>
      <c r="N130" s="446"/>
    </row>
    <row r="131" spans="1:14" ht="36">
      <c r="A131" s="766" t="s">
        <v>563</v>
      </c>
      <c r="B131" s="231" t="s">
        <v>174</v>
      </c>
      <c r="C131" s="796" t="s">
        <v>632</v>
      </c>
      <c r="D131" s="449">
        <f>SUM(D125:D130)</f>
        <v>6350000</v>
      </c>
      <c r="E131" s="241"/>
      <c r="F131" s="241"/>
      <c r="G131" s="241"/>
      <c r="H131" s="241"/>
      <c r="I131" s="241"/>
      <c r="J131" s="241"/>
      <c r="K131" s="241"/>
      <c r="L131" s="241"/>
      <c r="M131" s="241"/>
      <c r="N131" s="760"/>
    </row>
    <row r="132" spans="1:14" ht="172.5" customHeight="1">
      <c r="A132" s="800" t="s">
        <v>571</v>
      </c>
      <c r="B132" s="241" t="s">
        <v>637</v>
      </c>
      <c r="C132" s="798" t="s">
        <v>569</v>
      </c>
      <c r="D132" s="799">
        <v>2939235</v>
      </c>
      <c r="E132" s="242"/>
      <c r="F132" s="242"/>
      <c r="G132" s="242"/>
      <c r="H132" s="241"/>
      <c r="I132" s="241"/>
      <c r="J132" s="241"/>
      <c r="K132" s="241"/>
      <c r="L132" s="241"/>
      <c r="M132" s="241"/>
      <c r="N132" s="450" t="s">
        <v>943</v>
      </c>
    </row>
    <row r="133" spans="1:14" ht="91.5" customHeight="1">
      <c r="A133" s="766" t="s">
        <v>571</v>
      </c>
      <c r="B133" s="241" t="s">
        <v>637</v>
      </c>
      <c r="C133" s="798" t="s">
        <v>570</v>
      </c>
      <c r="D133" s="799">
        <v>5100000</v>
      </c>
      <c r="E133" s="241"/>
      <c r="F133" s="241"/>
      <c r="G133" s="241"/>
      <c r="H133" s="242"/>
      <c r="I133" s="242"/>
      <c r="J133" s="242"/>
      <c r="K133" s="242"/>
      <c r="L133" s="242"/>
      <c r="M133" s="242"/>
      <c r="N133" s="446"/>
    </row>
    <row r="134" spans="1:14" ht="99.75" customHeight="1">
      <c r="A134" s="800" t="s">
        <v>571</v>
      </c>
      <c r="B134" s="241" t="s">
        <v>572</v>
      </c>
      <c r="C134" s="798" t="s">
        <v>574</v>
      </c>
      <c r="D134" s="799">
        <v>253289.75</v>
      </c>
      <c r="E134" s="242"/>
      <c r="F134" s="242"/>
      <c r="G134" s="242"/>
      <c r="H134" s="241"/>
      <c r="I134" s="241"/>
      <c r="J134" s="241"/>
      <c r="K134" s="241"/>
      <c r="L134" s="241"/>
      <c r="M134" s="241"/>
      <c r="N134" s="446" t="s">
        <v>944</v>
      </c>
    </row>
    <row r="135" spans="1:14" ht="75" customHeight="1">
      <c r="A135" s="766" t="s">
        <v>571</v>
      </c>
      <c r="B135" s="241" t="s">
        <v>573</v>
      </c>
      <c r="C135" s="798" t="s">
        <v>575</v>
      </c>
      <c r="D135" s="799">
        <v>420000</v>
      </c>
      <c r="E135" s="241"/>
      <c r="F135" s="241"/>
      <c r="G135" s="241"/>
      <c r="H135" s="242"/>
      <c r="I135" s="242"/>
      <c r="J135" s="242"/>
      <c r="K135" s="242"/>
      <c r="L135" s="242"/>
      <c r="M135" s="242"/>
      <c r="N135" s="446"/>
    </row>
    <row r="136" spans="1:14" ht="24">
      <c r="A136" s="766" t="s">
        <v>571</v>
      </c>
      <c r="B136" s="231" t="s">
        <v>174</v>
      </c>
      <c r="C136" s="796" t="s">
        <v>576</v>
      </c>
      <c r="D136" s="448">
        <f>SUM(D132:D135)</f>
        <v>8712524.75</v>
      </c>
      <c r="E136" s="241"/>
      <c r="F136" s="241"/>
      <c r="G136" s="241"/>
      <c r="H136" s="241"/>
      <c r="I136" s="241"/>
      <c r="J136" s="241"/>
      <c r="K136" s="241"/>
      <c r="L136" s="241"/>
      <c r="M136" s="241"/>
      <c r="N136" s="760"/>
    </row>
    <row r="137" spans="1:14" ht="160.5" customHeight="1">
      <c r="A137" s="800" t="s">
        <v>587</v>
      </c>
      <c r="B137" s="241" t="s">
        <v>577</v>
      </c>
      <c r="C137" s="245">
        <v>3260000</v>
      </c>
      <c r="D137" s="243">
        <v>3260000</v>
      </c>
      <c r="E137" s="242" t="s">
        <v>579</v>
      </c>
      <c r="F137" s="242" t="s">
        <v>580</v>
      </c>
      <c r="G137" s="242" t="s">
        <v>581</v>
      </c>
      <c r="H137" s="241"/>
      <c r="I137" s="241"/>
      <c r="J137" s="241"/>
      <c r="K137" s="241"/>
      <c r="L137" s="241"/>
      <c r="M137" s="241"/>
      <c r="N137" s="450" t="s">
        <v>945</v>
      </c>
    </row>
    <row r="138" spans="1:14" ht="88.5" customHeight="1">
      <c r="A138" s="766" t="s">
        <v>587</v>
      </c>
      <c r="B138" s="241" t="s">
        <v>578</v>
      </c>
      <c r="C138" s="245">
        <v>3020000</v>
      </c>
      <c r="D138" s="243">
        <v>3020000</v>
      </c>
      <c r="E138" s="241"/>
      <c r="F138" s="241"/>
      <c r="G138" s="241"/>
      <c r="H138" s="242" t="s">
        <v>581</v>
      </c>
      <c r="I138" s="242" t="s">
        <v>581</v>
      </c>
      <c r="J138" s="242" t="s">
        <v>581</v>
      </c>
      <c r="K138" s="242" t="s">
        <v>581</v>
      </c>
      <c r="L138" s="242" t="s">
        <v>582</v>
      </c>
      <c r="M138" s="242" t="s">
        <v>581</v>
      </c>
      <c r="N138" s="446"/>
    </row>
    <row r="139" spans="1:14" ht="86.25" customHeight="1">
      <c r="A139" s="766" t="s">
        <v>587</v>
      </c>
      <c r="B139" s="241" t="s">
        <v>583</v>
      </c>
      <c r="C139" s="245">
        <v>557500</v>
      </c>
      <c r="D139" s="243">
        <v>557500</v>
      </c>
      <c r="E139" s="242" t="s">
        <v>579</v>
      </c>
      <c r="F139" s="242" t="s">
        <v>579</v>
      </c>
      <c r="G139" s="242" t="s">
        <v>581</v>
      </c>
      <c r="H139" s="241"/>
      <c r="I139" s="241"/>
      <c r="J139" s="241"/>
      <c r="K139" s="241"/>
      <c r="L139" s="241"/>
      <c r="M139" s="241"/>
      <c r="N139" s="446"/>
    </row>
    <row r="140" spans="1:14" ht="84" customHeight="1">
      <c r="A140" s="766" t="s">
        <v>587</v>
      </c>
      <c r="B140" s="241" t="s">
        <v>584</v>
      </c>
      <c r="C140" s="245">
        <v>178968</v>
      </c>
      <c r="D140" s="243">
        <v>178968</v>
      </c>
      <c r="E140" s="241"/>
      <c r="F140" s="241"/>
      <c r="G140" s="241"/>
      <c r="H140" s="241" t="s">
        <v>585</v>
      </c>
      <c r="I140" s="242" t="s">
        <v>586</v>
      </c>
      <c r="J140" s="242" t="s">
        <v>586</v>
      </c>
      <c r="K140" s="242" t="s">
        <v>586</v>
      </c>
      <c r="L140" s="242" t="s">
        <v>586</v>
      </c>
      <c r="M140" s="242" t="s">
        <v>586</v>
      </c>
      <c r="N140" s="446"/>
    </row>
    <row r="141" spans="1:14" ht="24">
      <c r="A141" s="766" t="s">
        <v>587</v>
      </c>
      <c r="B141" s="231" t="s">
        <v>174</v>
      </c>
      <c r="C141" s="808">
        <v>7016468</v>
      </c>
      <c r="D141" s="448">
        <f>SUM(D137:D140)</f>
        <v>7016468</v>
      </c>
      <c r="E141" s="241"/>
      <c r="F141" s="241"/>
      <c r="G141" s="241"/>
      <c r="H141" s="241"/>
      <c r="I141" s="241"/>
      <c r="J141" s="241"/>
      <c r="K141" s="241"/>
      <c r="L141" s="241"/>
      <c r="M141" s="241"/>
      <c r="N141" s="760"/>
    </row>
    <row r="142" spans="1:14" ht="78" customHeight="1">
      <c r="A142" s="766" t="s">
        <v>522</v>
      </c>
      <c r="B142" s="241" t="s">
        <v>633</v>
      </c>
      <c r="C142" s="799">
        <v>3275024.18</v>
      </c>
      <c r="D142" s="799">
        <v>3275024.18</v>
      </c>
      <c r="E142" s="242"/>
      <c r="F142" s="242"/>
      <c r="G142" s="242"/>
      <c r="H142" s="241"/>
      <c r="I142" s="241"/>
      <c r="J142" s="241"/>
      <c r="K142" s="241"/>
      <c r="L142" s="241"/>
      <c r="M142" s="241"/>
      <c r="N142" s="446"/>
    </row>
    <row r="143" spans="1:14" ht="76.5" customHeight="1">
      <c r="A143" s="766" t="s">
        <v>522</v>
      </c>
      <c r="B143" s="241" t="s">
        <v>633</v>
      </c>
      <c r="C143" s="799">
        <v>1140129.76</v>
      </c>
      <c r="D143" s="799">
        <v>1140129.76</v>
      </c>
      <c r="E143" s="241"/>
      <c r="F143" s="241"/>
      <c r="G143" s="241"/>
      <c r="H143" s="242"/>
      <c r="I143" s="242"/>
      <c r="J143" s="241"/>
      <c r="K143" s="241"/>
      <c r="L143" s="241"/>
      <c r="M143" s="241"/>
      <c r="N143" s="446"/>
    </row>
    <row r="144" spans="1:14" ht="75" customHeight="1">
      <c r="A144" s="766" t="s">
        <v>522</v>
      </c>
      <c r="B144" s="241" t="s">
        <v>633</v>
      </c>
      <c r="C144" s="798" t="s">
        <v>588</v>
      </c>
      <c r="D144" s="799">
        <v>3200000</v>
      </c>
      <c r="E144" s="241"/>
      <c r="F144" s="241"/>
      <c r="G144" s="241"/>
      <c r="H144" s="241"/>
      <c r="I144" s="241"/>
      <c r="J144" s="242"/>
      <c r="K144" s="242"/>
      <c r="L144" s="242"/>
      <c r="M144" s="242"/>
      <c r="N144" s="446"/>
    </row>
    <row r="145" spans="1:14" ht="75" customHeight="1">
      <c r="A145" s="766" t="s">
        <v>522</v>
      </c>
      <c r="B145" s="241" t="s">
        <v>516</v>
      </c>
      <c r="C145" s="798" t="s">
        <v>517</v>
      </c>
      <c r="D145" s="243">
        <v>300000</v>
      </c>
      <c r="E145" s="242"/>
      <c r="F145" s="242"/>
      <c r="G145" s="242"/>
      <c r="H145" s="241"/>
      <c r="I145" s="241"/>
      <c r="J145" s="241"/>
      <c r="K145" s="241"/>
      <c r="L145" s="241"/>
      <c r="M145" s="241"/>
      <c r="N145" s="446"/>
    </row>
    <row r="146" spans="1:14" ht="75" customHeight="1">
      <c r="A146" s="766" t="s">
        <v>522</v>
      </c>
      <c r="B146" s="241" t="s">
        <v>518</v>
      </c>
      <c r="C146" s="798" t="s">
        <v>519</v>
      </c>
      <c r="D146" s="799">
        <v>190046.69</v>
      </c>
      <c r="E146" s="241"/>
      <c r="F146" s="241"/>
      <c r="G146" s="241"/>
      <c r="H146" s="242"/>
      <c r="I146" s="242"/>
      <c r="J146" s="241"/>
      <c r="K146" s="241"/>
      <c r="L146" s="241"/>
      <c r="M146" s="241"/>
      <c r="N146" s="446"/>
    </row>
    <row r="147" spans="1:14" ht="75" customHeight="1">
      <c r="A147" s="766" t="s">
        <v>522</v>
      </c>
      <c r="B147" s="241" t="s">
        <v>520</v>
      </c>
      <c r="C147" s="798" t="s">
        <v>517</v>
      </c>
      <c r="D147" s="799">
        <v>300000</v>
      </c>
      <c r="E147" s="241"/>
      <c r="F147" s="241"/>
      <c r="G147" s="241"/>
      <c r="H147" s="241"/>
      <c r="I147" s="241"/>
      <c r="J147" s="242"/>
      <c r="K147" s="242"/>
      <c r="L147" s="242"/>
      <c r="M147" s="242"/>
      <c r="N147" s="446"/>
    </row>
    <row r="148" spans="1:14" ht="22.5" customHeight="1">
      <c r="A148" s="766" t="s">
        <v>522</v>
      </c>
      <c r="B148" s="231" t="s">
        <v>174</v>
      </c>
      <c r="C148" s="796" t="s">
        <v>521</v>
      </c>
      <c r="D148" s="448">
        <f>SUM(D142:D147)</f>
        <v>8405200.63</v>
      </c>
      <c r="E148" s="241"/>
      <c r="F148" s="241"/>
      <c r="G148" s="241"/>
      <c r="H148" s="241"/>
      <c r="I148" s="241"/>
      <c r="J148" s="241"/>
      <c r="K148" s="241"/>
      <c r="L148" s="241"/>
      <c r="M148" s="241"/>
      <c r="N148" s="760"/>
    </row>
    <row r="149" spans="1:14" ht="100.5" customHeight="1">
      <c r="A149" s="766" t="s">
        <v>137</v>
      </c>
      <c r="B149" s="241" t="s">
        <v>946</v>
      </c>
      <c r="C149" s="798" t="s">
        <v>523</v>
      </c>
      <c r="D149" s="799">
        <v>2500000</v>
      </c>
      <c r="E149" s="242"/>
      <c r="F149" s="242"/>
      <c r="G149" s="242"/>
      <c r="H149" s="241"/>
      <c r="I149" s="241"/>
      <c r="J149" s="241"/>
      <c r="K149" s="241"/>
      <c r="L149" s="241"/>
      <c r="M149" s="241"/>
      <c r="N149" s="446"/>
    </row>
    <row r="150" spans="1:14" ht="100.5" customHeight="1">
      <c r="A150" s="766" t="s">
        <v>137</v>
      </c>
      <c r="B150" s="241" t="s">
        <v>947</v>
      </c>
      <c r="C150" s="798" t="s">
        <v>524</v>
      </c>
      <c r="D150" s="799">
        <v>2000000</v>
      </c>
      <c r="E150" s="241"/>
      <c r="F150" s="241"/>
      <c r="G150" s="241"/>
      <c r="H150" s="242"/>
      <c r="I150" s="242"/>
      <c r="J150" s="242"/>
      <c r="K150" s="242"/>
      <c r="L150" s="241"/>
      <c r="M150" s="241"/>
      <c r="N150" s="446"/>
    </row>
    <row r="151" spans="1:14" ht="100.5" customHeight="1">
      <c r="A151" s="766" t="s">
        <v>137</v>
      </c>
      <c r="B151" s="241" t="s">
        <v>948</v>
      </c>
      <c r="C151" s="798" t="s">
        <v>525</v>
      </c>
      <c r="D151" s="799">
        <v>363968.25</v>
      </c>
      <c r="E151" s="241"/>
      <c r="F151" s="241"/>
      <c r="G151" s="246"/>
      <c r="H151" s="246"/>
      <c r="I151" s="246"/>
      <c r="J151" s="246"/>
      <c r="K151" s="246"/>
      <c r="L151" s="242"/>
      <c r="M151" s="242"/>
      <c r="N151" s="446"/>
    </row>
    <row r="152" spans="1:14" ht="27" customHeight="1" thickBot="1">
      <c r="A152" s="809" t="s">
        <v>137</v>
      </c>
      <c r="B152" s="815" t="s">
        <v>174</v>
      </c>
      <c r="C152" s="826" t="s">
        <v>526</v>
      </c>
      <c r="D152" s="827">
        <f>SUM(D149:D151)</f>
        <v>4863968.25</v>
      </c>
      <c r="E152" s="1202"/>
      <c r="F152" s="1203"/>
      <c r="G152" s="1203"/>
      <c r="H152" s="1203"/>
      <c r="I152" s="1203"/>
      <c r="J152" s="1203"/>
      <c r="K152" s="1203"/>
      <c r="L152" s="1203"/>
      <c r="M152" s="1204"/>
      <c r="N152" s="792"/>
    </row>
    <row r="153" spans="1:14" ht="12.75">
      <c r="A153" s="810"/>
      <c r="B153" s="761"/>
      <c r="C153" s="790"/>
      <c r="D153" s="790"/>
      <c r="E153" s="790"/>
      <c r="F153" s="761"/>
      <c r="G153" s="761"/>
      <c r="H153" s="761"/>
      <c r="I153" s="761"/>
      <c r="J153" s="761"/>
      <c r="K153" s="761"/>
      <c r="L153" s="761"/>
      <c r="M153" s="761"/>
      <c r="N153" s="763"/>
    </row>
    <row r="154" spans="1:14" ht="12.75">
      <c r="A154" s="761"/>
      <c r="B154" s="761"/>
      <c r="C154" s="790"/>
      <c r="D154" s="790"/>
      <c r="E154" s="790"/>
      <c r="F154" s="761"/>
      <c r="G154" s="761"/>
      <c r="H154" s="761"/>
      <c r="I154" s="761"/>
      <c r="J154" s="761"/>
      <c r="K154" s="761"/>
      <c r="L154" s="761"/>
      <c r="M154" s="761"/>
      <c r="N154" s="763"/>
    </row>
    <row r="155" spans="1:14" ht="12.75">
      <c r="A155" s="761"/>
      <c r="B155" s="761"/>
      <c r="C155" s="790"/>
      <c r="D155" s="790"/>
      <c r="E155" s="790"/>
      <c r="F155" s="761"/>
      <c r="G155" s="761"/>
      <c r="H155" s="761"/>
      <c r="I155" s="761"/>
      <c r="J155" s="761"/>
      <c r="K155" s="761"/>
      <c r="L155" s="761"/>
      <c r="M155" s="761"/>
      <c r="N155" s="763"/>
    </row>
    <row r="156" spans="1:14" ht="16.5" customHeight="1">
      <c r="A156" s="761"/>
      <c r="B156" s="811" t="s">
        <v>846</v>
      </c>
      <c r="C156" s="812">
        <f>D88</f>
        <v>43876053.0874122</v>
      </c>
      <c r="E156" s="790"/>
      <c r="F156" s="790"/>
      <c r="G156" s="761"/>
      <c r="H156" s="761"/>
      <c r="I156" s="761"/>
      <c r="J156" s="761"/>
      <c r="K156" s="761"/>
      <c r="L156" s="761"/>
      <c r="M156" s="761"/>
      <c r="N156" s="763"/>
    </row>
    <row r="157" spans="1:14" ht="15.75" customHeight="1">
      <c r="A157" s="761"/>
      <c r="B157" s="811" t="s">
        <v>71</v>
      </c>
      <c r="C157" s="812">
        <f>D103</f>
        <v>13605058.48</v>
      </c>
      <c r="E157" s="790"/>
      <c r="F157" s="790"/>
      <c r="G157" s="761"/>
      <c r="H157" s="761"/>
      <c r="I157" s="761"/>
      <c r="J157" s="761"/>
      <c r="K157" s="761"/>
      <c r="L157" s="761"/>
      <c r="M157" s="761"/>
      <c r="N157" s="763"/>
    </row>
    <row r="158" spans="1:14" ht="15.75" customHeight="1">
      <c r="A158" s="761"/>
      <c r="B158" s="811" t="s">
        <v>559</v>
      </c>
      <c r="C158" s="812">
        <f>D124</f>
        <v>10365181</v>
      </c>
      <c r="E158" s="790"/>
      <c r="F158" s="790"/>
      <c r="G158" s="761"/>
      <c r="H158" s="761"/>
      <c r="I158" s="761"/>
      <c r="J158" s="761"/>
      <c r="K158" s="761"/>
      <c r="L158" s="761"/>
      <c r="M158" s="761"/>
      <c r="N158" s="763"/>
    </row>
    <row r="159" spans="1:14" ht="15" customHeight="1">
      <c r="A159" s="761"/>
      <c r="B159" s="811" t="s">
        <v>571</v>
      </c>
      <c r="C159" s="812">
        <f>D136</f>
        <v>8712524.75</v>
      </c>
      <c r="E159" s="790"/>
      <c r="F159" s="790"/>
      <c r="G159" s="761"/>
      <c r="H159" s="761"/>
      <c r="I159" s="761"/>
      <c r="J159" s="761"/>
      <c r="K159" s="761"/>
      <c r="L159" s="761"/>
      <c r="M159" s="761"/>
      <c r="N159" s="763"/>
    </row>
    <row r="160" spans="1:14" ht="15.75" customHeight="1">
      <c r="A160" s="761"/>
      <c r="B160" s="811" t="s">
        <v>81</v>
      </c>
      <c r="C160" s="812">
        <f>D110</f>
        <v>11365000</v>
      </c>
      <c r="E160" s="790"/>
      <c r="F160" s="790"/>
      <c r="G160" s="761"/>
      <c r="H160" s="761"/>
      <c r="I160" s="761"/>
      <c r="J160" s="761"/>
      <c r="K160" s="761"/>
      <c r="L160" s="761"/>
      <c r="M160" s="761"/>
      <c r="N160" s="763"/>
    </row>
    <row r="161" spans="1:14" ht="15" customHeight="1">
      <c r="A161" s="761"/>
      <c r="B161" s="811" t="s">
        <v>522</v>
      </c>
      <c r="C161" s="812">
        <f>D148</f>
        <v>8405200.63</v>
      </c>
      <c r="E161" s="790"/>
      <c r="F161" s="790"/>
      <c r="G161" s="761"/>
      <c r="H161" s="761"/>
      <c r="I161" s="761"/>
      <c r="J161" s="761"/>
      <c r="K161" s="761"/>
      <c r="L161" s="761"/>
      <c r="M161" s="761"/>
      <c r="N161" s="763"/>
    </row>
    <row r="162" spans="1:14" ht="15.75" customHeight="1">
      <c r="A162" s="761"/>
      <c r="B162" s="811" t="s">
        <v>587</v>
      </c>
      <c r="C162" s="812">
        <f>D141</f>
        <v>7016468</v>
      </c>
      <c r="E162" s="790"/>
      <c r="F162" s="790"/>
      <c r="G162" s="761"/>
      <c r="H162" s="761"/>
      <c r="I162" s="761"/>
      <c r="J162" s="761"/>
      <c r="K162" s="761"/>
      <c r="L162" s="761"/>
      <c r="M162" s="761"/>
      <c r="N162" s="763"/>
    </row>
    <row r="163" spans="1:14" ht="15.75" customHeight="1">
      <c r="A163" s="761"/>
      <c r="B163" s="811" t="s">
        <v>83</v>
      </c>
      <c r="C163" s="812">
        <f>D117</f>
        <v>6562520</v>
      </c>
      <c r="E163" s="790"/>
      <c r="F163" s="790"/>
      <c r="G163" s="761"/>
      <c r="H163" s="761"/>
      <c r="I163" s="761"/>
      <c r="J163" s="761"/>
      <c r="K163" s="761"/>
      <c r="L163" s="761"/>
      <c r="M163" s="761"/>
      <c r="N163" s="763"/>
    </row>
    <row r="164" spans="1:14" ht="12.75">
      <c r="A164" s="761"/>
      <c r="B164" s="811" t="s">
        <v>530</v>
      </c>
      <c r="C164" s="812">
        <f>D131</f>
        <v>6350000</v>
      </c>
      <c r="E164" s="790"/>
      <c r="F164" s="790"/>
      <c r="G164" s="761"/>
      <c r="H164" s="761"/>
      <c r="I164" s="761"/>
      <c r="J164" s="761"/>
      <c r="K164" s="761"/>
      <c r="L164" s="761"/>
      <c r="M164" s="761"/>
      <c r="N164" s="763"/>
    </row>
    <row r="165" spans="1:14" ht="15" customHeight="1">
      <c r="A165" s="761"/>
      <c r="B165" s="811" t="s">
        <v>137</v>
      </c>
      <c r="C165" s="812">
        <f>D152</f>
        <v>4863968.25</v>
      </c>
      <c r="E165" s="790"/>
      <c r="F165" s="790"/>
      <c r="G165" s="761"/>
      <c r="H165" s="761"/>
      <c r="I165" s="761"/>
      <c r="J165" s="761"/>
      <c r="K165" s="761"/>
      <c r="L165" s="761"/>
      <c r="M165" s="761"/>
      <c r="N165" s="763"/>
    </row>
    <row r="166" spans="1:14" ht="19.5" customHeight="1">
      <c r="A166" s="761"/>
      <c r="B166" s="213" t="s">
        <v>531</v>
      </c>
      <c r="C166" s="812">
        <f>SUM(C156:C165)</f>
        <v>121121974.1974122</v>
      </c>
      <c r="E166" s="790"/>
      <c r="F166" s="790"/>
      <c r="G166" s="761"/>
      <c r="H166" s="761"/>
      <c r="I166" s="761"/>
      <c r="J166" s="761"/>
      <c r="K166" s="761"/>
      <c r="L166" s="761"/>
      <c r="M166" s="761"/>
      <c r="N166" s="763"/>
    </row>
    <row r="167" spans="1:14" ht="12.75">
      <c r="A167" s="761"/>
      <c r="B167" s="761"/>
      <c r="C167" s="790"/>
      <c r="D167" s="790"/>
      <c r="E167" s="790"/>
      <c r="F167" s="761"/>
      <c r="G167" s="761"/>
      <c r="H167" s="761"/>
      <c r="I167" s="761"/>
      <c r="J167" s="761"/>
      <c r="K167" s="761"/>
      <c r="L167" s="761"/>
      <c r="M167" s="761"/>
      <c r="N167" s="763"/>
    </row>
    <row r="168" spans="2:4" ht="12.75">
      <c r="B168" s="177"/>
      <c r="C168" s="177"/>
      <c r="D168" s="177"/>
    </row>
    <row r="169" spans="2:4" ht="12.75">
      <c r="B169" s="177"/>
      <c r="C169" s="177"/>
      <c r="D169" s="177"/>
    </row>
  </sheetData>
  <mergeCells count="82">
    <mergeCell ref="B2:N2"/>
    <mergeCell ref="B4:N4"/>
    <mergeCell ref="H5:I5"/>
    <mergeCell ref="J5:K5"/>
    <mergeCell ref="A3:N3"/>
    <mergeCell ref="L5:M5"/>
    <mergeCell ref="A5:A7"/>
    <mergeCell ref="C5:C7"/>
    <mergeCell ref="D5:D7"/>
    <mergeCell ref="F5:G5"/>
    <mergeCell ref="N5:N7"/>
    <mergeCell ref="E6:E7"/>
    <mergeCell ref="F6:F7"/>
    <mergeCell ref="G6:G7"/>
    <mergeCell ref="H6:H7"/>
    <mergeCell ref="I6:I7"/>
    <mergeCell ref="J6:J7"/>
    <mergeCell ref="L31:L32"/>
    <mergeCell ref="M31:M32"/>
    <mergeCell ref="D40:D41"/>
    <mergeCell ref="C30:C32"/>
    <mergeCell ref="D30:D32"/>
    <mergeCell ref="A94:A96"/>
    <mergeCell ref="C94:C96"/>
    <mergeCell ref="F94:G94"/>
    <mergeCell ref="E95:E96"/>
    <mergeCell ref="F95:F96"/>
    <mergeCell ref="G95:G96"/>
    <mergeCell ref="N94:N96"/>
    <mergeCell ref="H95:H96"/>
    <mergeCell ref="I95:I96"/>
    <mergeCell ref="J95:J96"/>
    <mergeCell ref="K95:K96"/>
    <mergeCell ref="L95:L96"/>
    <mergeCell ref="M95:M96"/>
    <mergeCell ref="N30:N32"/>
    <mergeCell ref="E31:E32"/>
    <mergeCell ref="F31:F32"/>
    <mergeCell ref="G31:G32"/>
    <mergeCell ref="H31:H32"/>
    <mergeCell ref="I31:I32"/>
    <mergeCell ref="J31:J32"/>
    <mergeCell ref="K31:K32"/>
    <mergeCell ref="F30:G30"/>
    <mergeCell ref="H30:I30"/>
    <mergeCell ref="B5:B6"/>
    <mergeCell ref="B30:B31"/>
    <mergeCell ref="E29:M29"/>
    <mergeCell ref="J30:K30"/>
    <mergeCell ref="L30:M30"/>
    <mergeCell ref="C11:C13"/>
    <mergeCell ref="D11:D13"/>
    <mergeCell ref="K6:K7"/>
    <mergeCell ref="L6:L7"/>
    <mergeCell ref="M6:M7"/>
    <mergeCell ref="A70:A72"/>
    <mergeCell ref="B70:B71"/>
    <mergeCell ref="A30:A32"/>
    <mergeCell ref="F70:G70"/>
    <mergeCell ref="E71:E72"/>
    <mergeCell ref="F71:F72"/>
    <mergeCell ref="G71:G72"/>
    <mergeCell ref="C70:C72"/>
    <mergeCell ref="D70:D72"/>
    <mergeCell ref="C40:C41"/>
    <mergeCell ref="H70:I70"/>
    <mergeCell ref="J70:K70"/>
    <mergeCell ref="L70:M70"/>
    <mergeCell ref="N70:N72"/>
    <mergeCell ref="H71:H72"/>
    <mergeCell ref="I71:I72"/>
    <mergeCell ref="J71:J72"/>
    <mergeCell ref="K71:K72"/>
    <mergeCell ref="L71:L72"/>
    <mergeCell ref="M71:M72"/>
    <mergeCell ref="E82:M82"/>
    <mergeCell ref="B94:B95"/>
    <mergeCell ref="D94:D96"/>
    <mergeCell ref="E152:M152"/>
    <mergeCell ref="H94:I94"/>
    <mergeCell ref="J94:K94"/>
    <mergeCell ref="L94:M94"/>
  </mergeCells>
  <printOptions horizontalCentered="1"/>
  <pageMargins left="0.5511811023622047" right="0.5511811023622047" top="0.5118110236220472" bottom="0.7086614173228347" header="0.5118110236220472" footer="0.5118110236220472"/>
  <pageSetup horizontalDpi="600" verticalDpi="600" orientation="landscape" paperSize="9" scale="99" r:id="rId2"/>
  <headerFooter alignWithMargins="0">
    <oddFooter>&amp;R&amp;P</oddFooter>
  </headerFooter>
  <rowBreaks count="12" manualBreakCount="12">
    <brk id="29" max="255" man="1"/>
    <brk id="50" max="13" man="1"/>
    <brk id="63" max="13" man="1"/>
    <brk id="69" max="13" man="1"/>
    <brk id="83" max="255" man="1"/>
    <brk id="93" max="13" man="1"/>
    <brk id="103" max="255" man="1"/>
    <brk id="117" max="255" man="1"/>
    <brk id="124" max="13" man="1"/>
    <brk id="131" max="255" man="1"/>
    <brk id="141" max="255" man="1"/>
    <brk id="153" max="255" man="1"/>
  </rowBreaks>
  <drawing r:id="rId1"/>
</worksheet>
</file>

<file path=xl/worksheets/sheet5.xml><?xml version="1.0" encoding="utf-8"?>
<worksheet xmlns="http://schemas.openxmlformats.org/spreadsheetml/2006/main" xmlns:r="http://schemas.openxmlformats.org/officeDocument/2006/relationships">
  <dimension ref="A1:O44"/>
  <sheetViews>
    <sheetView view="pageBreakPreview" zoomScale="80" zoomScaleNormal="80" zoomScaleSheetLayoutView="80" zoomScalePageLayoutView="0" workbookViewId="0" topLeftCell="A28">
      <selection activeCell="B40" sqref="B40"/>
    </sheetView>
  </sheetViews>
  <sheetFormatPr defaultColWidth="9.140625" defaultRowHeight="12.75"/>
  <cols>
    <col min="1" max="1" width="44.421875" style="0" customWidth="1"/>
    <col min="2" max="2" width="14.28125" style="0" customWidth="1"/>
    <col min="3" max="3" width="5.421875" style="0" customWidth="1"/>
    <col min="4" max="5" width="5.57421875" style="0" customWidth="1"/>
    <col min="6" max="7" width="5.421875" style="0" customWidth="1"/>
    <col min="8" max="8" width="5.57421875" style="0" customWidth="1"/>
    <col min="9" max="9" width="5.28125" style="0" customWidth="1"/>
    <col min="10" max="11" width="5.57421875" style="0" customWidth="1"/>
    <col min="12" max="12" width="5.28125" style="0" customWidth="1"/>
    <col min="13" max="13" width="24.00390625" style="267" customWidth="1"/>
    <col min="14" max="14" width="0.5625" style="0" hidden="1" customWidth="1"/>
  </cols>
  <sheetData>
    <row r="1" spans="1:13" ht="22.5" customHeight="1">
      <c r="A1" s="1114" t="s">
        <v>148</v>
      </c>
      <c r="B1" s="1114"/>
      <c r="C1" s="1114"/>
      <c r="D1" s="1114"/>
      <c r="E1" s="1114"/>
      <c r="F1" s="1114"/>
      <c r="G1" s="1114"/>
      <c r="H1" s="1114"/>
      <c r="I1" s="1114"/>
      <c r="J1" s="1114"/>
      <c r="K1" s="1114"/>
      <c r="L1" s="1114"/>
      <c r="M1" s="1034"/>
    </row>
    <row r="2" spans="1:13" s="1" customFormat="1" ht="20.25" customHeight="1">
      <c r="A2" s="1245" t="s">
        <v>104</v>
      </c>
      <c r="B2" s="1245"/>
      <c r="C2" s="1245"/>
      <c r="D2" s="1245"/>
      <c r="E2" s="1245"/>
      <c r="F2" s="1245"/>
      <c r="G2" s="1245"/>
      <c r="H2" s="1245"/>
      <c r="I2" s="1245"/>
      <c r="J2" s="1245"/>
      <c r="K2" s="1245"/>
      <c r="L2" s="1245"/>
      <c r="M2" s="1246"/>
    </row>
    <row r="3" spans="1:13" s="1" customFormat="1" ht="27.75" customHeight="1">
      <c r="A3" s="1048" t="s">
        <v>443</v>
      </c>
      <c r="B3" s="1048"/>
      <c r="C3" s="1048"/>
      <c r="D3" s="1048"/>
      <c r="E3" s="1048"/>
      <c r="F3" s="1048"/>
      <c r="G3" s="1048"/>
      <c r="H3" s="1048"/>
      <c r="I3" s="1048"/>
      <c r="J3" s="1048"/>
      <c r="K3" s="1048"/>
      <c r="L3" s="1048"/>
      <c r="M3" s="268"/>
    </row>
    <row r="4" spans="1:13" s="1" customFormat="1" ht="23.25" customHeight="1" thickBot="1">
      <c r="A4" s="1051" t="s">
        <v>868</v>
      </c>
      <c r="B4" s="1051"/>
      <c r="C4" s="1051"/>
      <c r="D4" s="1051"/>
      <c r="E4" s="1051"/>
      <c r="F4" s="1051"/>
      <c r="G4" s="1051"/>
      <c r="H4" s="1051"/>
      <c r="I4" s="1051"/>
      <c r="J4" s="1051"/>
      <c r="K4" s="1051"/>
      <c r="L4" s="1051"/>
      <c r="M4" s="268"/>
    </row>
    <row r="5" spans="1:13" s="1" customFormat="1" ht="12.75" customHeight="1">
      <c r="A5" s="1059" t="s">
        <v>447</v>
      </c>
      <c r="B5" s="1054" t="s">
        <v>180</v>
      </c>
      <c r="C5" s="1049">
        <v>2011</v>
      </c>
      <c r="D5" s="1049"/>
      <c r="E5" s="1049">
        <v>2012</v>
      </c>
      <c r="F5" s="1049"/>
      <c r="G5" s="1049">
        <v>2013</v>
      </c>
      <c r="H5" s="1049"/>
      <c r="I5" s="1049">
        <v>2014</v>
      </c>
      <c r="J5" s="1049"/>
      <c r="K5" s="1049">
        <v>2015</v>
      </c>
      <c r="L5" s="1263"/>
      <c r="M5" s="1247" t="s">
        <v>515</v>
      </c>
    </row>
    <row r="6" spans="1:13" s="1" customFormat="1" ht="15" customHeight="1">
      <c r="A6" s="1060"/>
      <c r="B6" s="1055"/>
      <c r="C6" s="1261" t="s">
        <v>182</v>
      </c>
      <c r="D6" s="1261" t="s">
        <v>181</v>
      </c>
      <c r="E6" s="1261" t="s">
        <v>182</v>
      </c>
      <c r="F6" s="1261" t="s">
        <v>181</v>
      </c>
      <c r="G6" s="1261" t="s">
        <v>182</v>
      </c>
      <c r="H6" s="1261" t="s">
        <v>181</v>
      </c>
      <c r="I6" s="1261" t="s">
        <v>182</v>
      </c>
      <c r="J6" s="1261" t="s">
        <v>181</v>
      </c>
      <c r="K6" s="1261" t="s">
        <v>182</v>
      </c>
      <c r="L6" s="1264" t="s">
        <v>181</v>
      </c>
      <c r="M6" s="1248"/>
    </row>
    <row r="7" spans="1:13" s="1" customFormat="1" ht="21.75" customHeight="1">
      <c r="A7" s="5" t="s">
        <v>179</v>
      </c>
      <c r="B7" s="1055"/>
      <c r="C7" s="1262"/>
      <c r="D7" s="1262"/>
      <c r="E7" s="1262"/>
      <c r="F7" s="1262"/>
      <c r="G7" s="1262"/>
      <c r="H7" s="1262"/>
      <c r="I7" s="1262"/>
      <c r="J7" s="1262"/>
      <c r="K7" s="1262"/>
      <c r="L7" s="1265"/>
      <c r="M7" s="1248"/>
    </row>
    <row r="8" spans="1:13" ht="31.5" customHeight="1">
      <c r="A8" s="828" t="s">
        <v>102</v>
      </c>
      <c r="B8" s="269">
        <v>121785.56</v>
      </c>
      <c r="C8" s="270"/>
      <c r="D8" s="270"/>
      <c r="E8" s="270"/>
      <c r="F8" s="270"/>
      <c r="G8" s="270"/>
      <c r="H8" s="270"/>
      <c r="I8" s="270"/>
      <c r="J8" s="270"/>
      <c r="K8" s="270"/>
      <c r="L8" s="271"/>
      <c r="M8" s="846" t="s">
        <v>723</v>
      </c>
    </row>
    <row r="9" spans="1:13" ht="30.75" customHeight="1">
      <c r="A9" s="828" t="s">
        <v>103</v>
      </c>
      <c r="B9" s="269">
        <v>118272.52</v>
      </c>
      <c r="C9" s="270"/>
      <c r="D9" s="270"/>
      <c r="E9" s="270"/>
      <c r="F9" s="270"/>
      <c r="G9" s="270"/>
      <c r="H9" s="270"/>
      <c r="I9" s="270"/>
      <c r="J9" s="270"/>
      <c r="K9" s="270"/>
      <c r="L9" s="271"/>
      <c r="M9" s="846" t="s">
        <v>723</v>
      </c>
    </row>
    <row r="10" spans="1:13" ht="28.5" customHeight="1">
      <c r="A10" s="829" t="s">
        <v>97</v>
      </c>
      <c r="B10" s="94">
        <v>327884.21</v>
      </c>
      <c r="C10" s="96"/>
      <c r="D10" s="272"/>
      <c r="E10" s="272"/>
      <c r="F10" s="272"/>
      <c r="G10" s="272"/>
      <c r="H10" s="95"/>
      <c r="I10" s="95"/>
      <c r="J10" s="95"/>
      <c r="K10" s="95"/>
      <c r="L10" s="273"/>
      <c r="M10" s="847" t="s">
        <v>366</v>
      </c>
    </row>
    <row r="11" spans="1:13" ht="29.25" customHeight="1">
      <c r="A11" s="829" t="s">
        <v>99</v>
      </c>
      <c r="B11" s="94">
        <v>1115696.29</v>
      </c>
      <c r="C11" s="96"/>
      <c r="D11" s="96"/>
      <c r="E11" s="96"/>
      <c r="F11" s="96"/>
      <c r="G11" s="95"/>
      <c r="H11" s="95"/>
      <c r="I11" s="95"/>
      <c r="J11" s="95"/>
      <c r="K11" s="95"/>
      <c r="L11" s="273"/>
      <c r="M11" s="841" t="s">
        <v>367</v>
      </c>
    </row>
    <row r="12" spans="1:13" ht="87" customHeight="1">
      <c r="A12" s="830" t="s">
        <v>368</v>
      </c>
      <c r="B12" s="84">
        <v>1760000</v>
      </c>
      <c r="C12" s="274"/>
      <c r="D12" s="272"/>
      <c r="E12" s="272"/>
      <c r="F12" s="272"/>
      <c r="G12" s="272"/>
      <c r="H12" s="272"/>
      <c r="I12" s="272"/>
      <c r="J12" s="272"/>
      <c r="K12" s="272"/>
      <c r="L12" s="275"/>
      <c r="M12" s="845" t="s">
        <v>369</v>
      </c>
    </row>
    <row r="13" spans="1:13" s="1" customFormat="1" ht="28.5" customHeight="1" thickBot="1">
      <c r="A13" s="587" t="s">
        <v>446</v>
      </c>
      <c r="B13" s="588">
        <f>B8+B9+B10+B11+B12</f>
        <v>3443638.58</v>
      </c>
      <c r="C13" s="20"/>
      <c r="D13" s="20"/>
      <c r="E13" s="20"/>
      <c r="F13" s="20"/>
      <c r="G13" s="20"/>
      <c r="H13" s="20"/>
      <c r="I13" s="20"/>
      <c r="J13" s="20"/>
      <c r="K13" s="20"/>
      <c r="L13" s="276"/>
      <c r="M13" s="848"/>
    </row>
    <row r="14" spans="1:13" s="1" customFormat="1" ht="12.75" customHeight="1">
      <c r="A14" s="1259" t="s">
        <v>438</v>
      </c>
      <c r="B14" s="1063" t="s">
        <v>180</v>
      </c>
      <c r="C14" s="1058">
        <v>2011</v>
      </c>
      <c r="D14" s="1058"/>
      <c r="E14" s="1058">
        <v>2012</v>
      </c>
      <c r="F14" s="1058"/>
      <c r="G14" s="1058">
        <v>2013</v>
      </c>
      <c r="H14" s="1058"/>
      <c r="I14" s="1058">
        <v>2014</v>
      </c>
      <c r="J14" s="1058"/>
      <c r="K14" s="1058">
        <v>2015</v>
      </c>
      <c r="L14" s="1257"/>
      <c r="M14" s="1247" t="s">
        <v>515</v>
      </c>
    </row>
    <row r="15" spans="1:13" s="1" customFormat="1" ht="15" customHeight="1">
      <c r="A15" s="1260"/>
      <c r="B15" s="1064"/>
      <c r="C15" s="1065" t="s">
        <v>182</v>
      </c>
      <c r="D15" s="1065" t="s">
        <v>181</v>
      </c>
      <c r="E15" s="1065" t="s">
        <v>182</v>
      </c>
      <c r="F15" s="1065" t="s">
        <v>181</v>
      </c>
      <c r="G15" s="1065" t="s">
        <v>182</v>
      </c>
      <c r="H15" s="1065" t="s">
        <v>181</v>
      </c>
      <c r="I15" s="1065" t="s">
        <v>182</v>
      </c>
      <c r="J15" s="1065" t="s">
        <v>181</v>
      </c>
      <c r="K15" s="1065" t="s">
        <v>182</v>
      </c>
      <c r="L15" s="1258" t="s">
        <v>181</v>
      </c>
      <c r="M15" s="1248"/>
    </row>
    <row r="16" spans="1:13" s="1" customFormat="1" ht="22.5" customHeight="1">
      <c r="A16" s="193" t="s">
        <v>179</v>
      </c>
      <c r="B16" s="1064"/>
      <c r="C16" s="1065"/>
      <c r="D16" s="1065"/>
      <c r="E16" s="1065"/>
      <c r="F16" s="1065"/>
      <c r="G16" s="1065"/>
      <c r="H16" s="1065"/>
      <c r="I16" s="1065"/>
      <c r="J16" s="1065"/>
      <c r="K16" s="1065"/>
      <c r="L16" s="1258"/>
      <c r="M16" s="1248"/>
    </row>
    <row r="17" spans="1:13" ht="30.75" customHeight="1">
      <c r="A17" s="828" t="s">
        <v>100</v>
      </c>
      <c r="B17" s="269">
        <v>59864</v>
      </c>
      <c r="C17" s="270"/>
      <c r="D17" s="270"/>
      <c r="E17" s="270"/>
      <c r="F17" s="270"/>
      <c r="G17" s="270"/>
      <c r="H17" s="270"/>
      <c r="I17" s="270"/>
      <c r="J17" s="270"/>
      <c r="K17" s="270"/>
      <c r="L17" s="271"/>
      <c r="M17" s="840" t="s">
        <v>370</v>
      </c>
    </row>
    <row r="18" spans="1:15" ht="30.75" customHeight="1">
      <c r="A18" s="828" t="s">
        <v>101</v>
      </c>
      <c r="B18" s="269">
        <v>17336.84</v>
      </c>
      <c r="C18" s="270"/>
      <c r="D18" s="270"/>
      <c r="E18" s="270"/>
      <c r="F18" s="270"/>
      <c r="G18" s="270"/>
      <c r="H18" s="270"/>
      <c r="I18" s="270"/>
      <c r="J18" s="270"/>
      <c r="K18" s="270"/>
      <c r="L18" s="271"/>
      <c r="M18" s="840" t="s">
        <v>370</v>
      </c>
      <c r="O18" s="194"/>
    </row>
    <row r="19" spans="1:13" s="89" customFormat="1" ht="46.5" customHeight="1">
      <c r="A19" s="831" t="s">
        <v>93</v>
      </c>
      <c r="B19" s="25">
        <v>200000</v>
      </c>
      <c r="C19" s="85"/>
      <c r="D19" s="277"/>
      <c r="E19" s="277"/>
      <c r="F19" s="277"/>
      <c r="G19" s="278"/>
      <c r="H19" s="278"/>
      <c r="I19" s="87"/>
      <c r="J19" s="87"/>
      <c r="K19" s="87"/>
      <c r="L19" s="279"/>
      <c r="M19" s="845" t="s">
        <v>371</v>
      </c>
    </row>
    <row r="20" spans="1:13" ht="28.5" customHeight="1">
      <c r="A20" s="828" t="s">
        <v>96</v>
      </c>
      <c r="B20" s="269">
        <v>121785.56</v>
      </c>
      <c r="C20" s="270"/>
      <c r="D20" s="270"/>
      <c r="E20" s="270"/>
      <c r="F20" s="270"/>
      <c r="G20" s="270"/>
      <c r="H20" s="270"/>
      <c r="I20" s="270"/>
      <c r="J20" s="270"/>
      <c r="K20" s="270"/>
      <c r="L20" s="271"/>
      <c r="M20" s="840" t="s">
        <v>723</v>
      </c>
    </row>
    <row r="21" spans="1:13" ht="57" customHeight="1">
      <c r="A21" s="831" t="s">
        <v>98</v>
      </c>
      <c r="B21" s="25">
        <v>199306.76</v>
      </c>
      <c r="C21" s="96"/>
      <c r="D21" s="96"/>
      <c r="E21" s="96"/>
      <c r="F21" s="95"/>
      <c r="G21" s="95"/>
      <c r="H21" s="95"/>
      <c r="I21" s="95"/>
      <c r="J21" s="95"/>
      <c r="K21" s="95"/>
      <c r="L21" s="273"/>
      <c r="M21" s="841" t="s">
        <v>372</v>
      </c>
    </row>
    <row r="22" spans="1:15" s="89" customFormat="1" ht="44.25" customHeight="1">
      <c r="A22" s="832" t="s">
        <v>365</v>
      </c>
      <c r="B22" s="113">
        <v>199072.56</v>
      </c>
      <c r="C22" s="85"/>
      <c r="D22" s="277"/>
      <c r="E22" s="277"/>
      <c r="F22" s="277"/>
      <c r="G22" s="278"/>
      <c r="H22" s="87"/>
      <c r="I22" s="87"/>
      <c r="J22" s="87"/>
      <c r="K22" s="87"/>
      <c r="L22" s="279"/>
      <c r="M22" s="845" t="s">
        <v>373</v>
      </c>
      <c r="O22" s="192"/>
    </row>
    <row r="23" spans="1:15" s="89" customFormat="1" ht="123.75" customHeight="1">
      <c r="A23" s="833" t="s">
        <v>374</v>
      </c>
      <c r="B23" s="280">
        <v>1806316</v>
      </c>
      <c r="C23" s="85"/>
      <c r="D23" s="277"/>
      <c r="E23" s="277"/>
      <c r="F23" s="277"/>
      <c r="G23" s="278"/>
      <c r="H23" s="278"/>
      <c r="I23" s="278"/>
      <c r="J23" s="278"/>
      <c r="K23" s="278"/>
      <c r="L23" s="278"/>
      <c r="M23" s="845" t="s">
        <v>375</v>
      </c>
      <c r="O23" s="192"/>
    </row>
    <row r="24" spans="1:13" s="1" customFormat="1" ht="27.75" customHeight="1" thickBot="1">
      <c r="A24" s="145" t="s">
        <v>448</v>
      </c>
      <c r="B24" s="600">
        <f>B17+B18+B19+B20+B21+B22+B23</f>
        <v>2603681.7199999997</v>
      </c>
      <c r="C24" s="1250"/>
      <c r="D24" s="1251"/>
      <c r="E24" s="1251"/>
      <c r="F24" s="1251"/>
      <c r="G24" s="1251"/>
      <c r="H24" s="1251"/>
      <c r="I24" s="1251"/>
      <c r="J24" s="1251"/>
      <c r="K24" s="1251"/>
      <c r="L24" s="1252"/>
      <c r="M24" s="842"/>
    </row>
    <row r="25" spans="1:13" s="1" customFormat="1" ht="12.75" customHeight="1">
      <c r="A25" s="1081" t="s">
        <v>439</v>
      </c>
      <c r="B25" s="1071" t="s">
        <v>180</v>
      </c>
      <c r="C25" s="1068">
        <v>2011</v>
      </c>
      <c r="D25" s="1068"/>
      <c r="E25" s="1068">
        <v>2012</v>
      </c>
      <c r="F25" s="1068"/>
      <c r="G25" s="1068">
        <v>2013</v>
      </c>
      <c r="H25" s="1068"/>
      <c r="I25" s="1068">
        <v>2014</v>
      </c>
      <c r="J25" s="1068"/>
      <c r="K25" s="1068">
        <v>2015</v>
      </c>
      <c r="L25" s="1125"/>
      <c r="M25" s="1247" t="s">
        <v>515</v>
      </c>
    </row>
    <row r="26" spans="1:13" s="1" customFormat="1" ht="12.75">
      <c r="A26" s="1082"/>
      <c r="B26" s="1072"/>
      <c r="C26" s="1036" t="s">
        <v>182</v>
      </c>
      <c r="D26" s="1036" t="s">
        <v>181</v>
      </c>
      <c r="E26" s="1036" t="s">
        <v>182</v>
      </c>
      <c r="F26" s="1036" t="s">
        <v>181</v>
      </c>
      <c r="G26" s="1036" t="s">
        <v>182</v>
      </c>
      <c r="H26" s="1036" t="s">
        <v>181</v>
      </c>
      <c r="I26" s="1036" t="s">
        <v>182</v>
      </c>
      <c r="J26" s="1036" t="s">
        <v>181</v>
      </c>
      <c r="K26" s="1036" t="s">
        <v>182</v>
      </c>
      <c r="L26" s="1254" t="s">
        <v>181</v>
      </c>
      <c r="M26" s="1248"/>
    </row>
    <row r="27" spans="1:13" s="1" customFormat="1" ht="22.5" customHeight="1" thickBot="1">
      <c r="A27" s="41" t="s">
        <v>179</v>
      </c>
      <c r="B27" s="1256"/>
      <c r="C27" s="1253"/>
      <c r="D27" s="1253"/>
      <c r="E27" s="1253"/>
      <c r="F27" s="1253"/>
      <c r="G27" s="1253"/>
      <c r="H27" s="1253"/>
      <c r="I27" s="1253"/>
      <c r="J27" s="1253"/>
      <c r="K27" s="1253"/>
      <c r="L27" s="1255"/>
      <c r="M27" s="1249"/>
    </row>
    <row r="28" spans="1:13" ht="40.5" customHeight="1">
      <c r="A28" s="834" t="s">
        <v>94</v>
      </c>
      <c r="B28" s="835">
        <v>643235.92</v>
      </c>
      <c r="C28" s="836"/>
      <c r="D28" s="836"/>
      <c r="E28" s="837"/>
      <c r="F28" s="837"/>
      <c r="G28" s="837"/>
      <c r="H28" s="837"/>
      <c r="I28" s="837"/>
      <c r="J28" s="837"/>
      <c r="K28" s="837"/>
      <c r="L28" s="838"/>
      <c r="M28" s="839" t="s">
        <v>376</v>
      </c>
    </row>
    <row r="29" spans="1:13" ht="27" customHeight="1">
      <c r="A29" s="281" t="s">
        <v>95</v>
      </c>
      <c r="B29" s="269">
        <v>45294.86</v>
      </c>
      <c r="C29" s="282"/>
      <c r="D29" s="282"/>
      <c r="E29" s="282"/>
      <c r="F29" s="282"/>
      <c r="G29" s="282"/>
      <c r="H29" s="282"/>
      <c r="I29" s="282"/>
      <c r="J29" s="282"/>
      <c r="K29" s="282"/>
      <c r="L29" s="283"/>
      <c r="M29" s="840" t="s">
        <v>723</v>
      </c>
    </row>
    <row r="30" spans="1:13" s="9" customFormat="1" ht="29.25" customHeight="1" thickBot="1">
      <c r="A30" s="196" t="s">
        <v>91</v>
      </c>
      <c r="B30" s="197">
        <v>702609.02</v>
      </c>
      <c r="C30" s="198"/>
      <c r="D30" s="199"/>
      <c r="E30" s="199"/>
      <c r="F30" s="199"/>
      <c r="G30" s="199"/>
      <c r="H30" s="199"/>
      <c r="I30" s="198"/>
      <c r="J30" s="198"/>
      <c r="K30" s="198"/>
      <c r="L30" s="284"/>
      <c r="M30" s="844" t="s">
        <v>377</v>
      </c>
    </row>
    <row r="31" spans="1:13" s="1" customFormat="1" ht="24" customHeight="1" thickBot="1">
      <c r="A31" s="41" t="s">
        <v>441</v>
      </c>
      <c r="B31" s="42">
        <f>B28+B29+B30</f>
        <v>1391139.8</v>
      </c>
      <c r="C31" s="43"/>
      <c r="D31" s="43"/>
      <c r="E31" s="44"/>
      <c r="F31" s="44"/>
      <c r="G31" s="44"/>
      <c r="H31" s="44"/>
      <c r="I31" s="44"/>
      <c r="J31" s="44"/>
      <c r="K31" s="44"/>
      <c r="L31" s="44"/>
      <c r="M31" s="843"/>
    </row>
    <row r="32" spans="1:13" s="1" customFormat="1" ht="30.75" customHeight="1" thickBot="1">
      <c r="A32" s="45" t="s">
        <v>442</v>
      </c>
      <c r="B32" s="46">
        <f>B31+B24+B13</f>
        <v>7438460.1</v>
      </c>
      <c r="C32" s="47"/>
      <c r="D32" s="47"/>
      <c r="E32" s="48"/>
      <c r="F32" s="48"/>
      <c r="G32" s="48"/>
      <c r="H32" s="48"/>
      <c r="I32" s="48"/>
      <c r="J32" s="48"/>
      <c r="K32" s="48"/>
      <c r="L32" s="48"/>
      <c r="M32" s="843"/>
    </row>
    <row r="33" spans="1:13" s="54" customFormat="1" ht="69.75" customHeight="1" thickBot="1">
      <c r="A33" s="50"/>
      <c r="B33" s="51"/>
      <c r="C33" s="52"/>
      <c r="D33" s="52"/>
      <c r="E33" s="53"/>
      <c r="F33" s="53"/>
      <c r="G33" s="53"/>
      <c r="H33" s="53"/>
      <c r="I33" s="53"/>
      <c r="J33" s="53"/>
      <c r="K33" s="53"/>
      <c r="L33" s="53"/>
      <c r="M33" s="285"/>
    </row>
    <row r="34" spans="1:13" s="1" customFormat="1" ht="24.75" customHeight="1">
      <c r="A34" s="1009" t="s">
        <v>175</v>
      </c>
      <c r="B34" s="215">
        <f>B13</f>
        <v>3443638.58</v>
      </c>
      <c r="M34" s="268"/>
    </row>
    <row r="35" spans="1:13" s="1" customFormat="1" ht="23.25" customHeight="1">
      <c r="A35" s="1010" t="s">
        <v>176</v>
      </c>
      <c r="B35" s="2">
        <f>B24</f>
        <v>2603681.7199999997</v>
      </c>
      <c r="M35" s="286"/>
    </row>
    <row r="36" spans="1:13" s="1" customFormat="1" ht="24" customHeight="1">
      <c r="A36" s="1011" t="s">
        <v>177</v>
      </c>
      <c r="B36" s="3">
        <f>B31</f>
        <v>1391139.8</v>
      </c>
      <c r="M36" s="268"/>
    </row>
    <row r="37" spans="1:13" s="1" customFormat="1" ht="25.5" customHeight="1" thickBot="1">
      <c r="A37" s="221" t="s">
        <v>178</v>
      </c>
      <c r="B37" s="222">
        <f>SUM(B34:B36)</f>
        <v>7438460.1</v>
      </c>
      <c r="M37" s="268"/>
    </row>
    <row r="38" spans="1:13" s="9" customFormat="1" ht="25.5" customHeight="1">
      <c r="A38" s="200"/>
      <c r="B38" s="201"/>
      <c r="C38" s="184"/>
      <c r="D38" s="184"/>
      <c r="E38" s="184"/>
      <c r="F38" s="184"/>
      <c r="G38" s="184"/>
      <c r="H38" s="184"/>
      <c r="I38" s="184"/>
      <c r="J38" s="184"/>
      <c r="K38" s="184"/>
      <c r="L38" s="184"/>
      <c r="M38" s="287"/>
    </row>
    <row r="39" spans="1:15" s="89" customFormat="1" ht="28.5" customHeight="1">
      <c r="A39" s="288"/>
      <c r="B39" s="289"/>
      <c r="C39" s="290"/>
      <c r="D39" s="290"/>
      <c r="E39" s="290"/>
      <c r="F39" s="290"/>
      <c r="G39" s="291"/>
      <c r="H39" s="291"/>
      <c r="I39" s="291"/>
      <c r="J39" s="291"/>
      <c r="K39" s="291"/>
      <c r="L39" s="291"/>
      <c r="M39" s="292"/>
      <c r="N39" s="192"/>
      <c r="O39" s="202" t="s">
        <v>92</v>
      </c>
    </row>
    <row r="40" spans="1:15" s="89" customFormat="1" ht="28.5" customHeight="1">
      <c r="A40" s="294"/>
      <c r="B40" s="295"/>
      <c r="C40" s="296"/>
      <c r="D40" s="296"/>
      <c r="E40" s="296"/>
      <c r="F40" s="290"/>
      <c r="G40" s="290"/>
      <c r="H40" s="290"/>
      <c r="I40" s="290"/>
      <c r="J40" s="290"/>
      <c r="K40" s="290"/>
      <c r="L40" s="290"/>
      <c r="M40" s="292"/>
      <c r="N40" s="192"/>
      <c r="O40" s="202"/>
    </row>
    <row r="41" spans="1:13" s="89" customFormat="1" ht="27.75" customHeight="1">
      <c r="A41" s="288"/>
      <c r="B41" s="289"/>
      <c r="C41" s="290"/>
      <c r="D41" s="290"/>
      <c r="E41" s="290"/>
      <c r="F41" s="290"/>
      <c r="G41" s="291"/>
      <c r="H41" s="291"/>
      <c r="I41" s="291"/>
      <c r="J41" s="291"/>
      <c r="K41" s="291"/>
      <c r="L41" s="291"/>
      <c r="M41" s="292"/>
    </row>
    <row r="42" spans="1:13" s="89" customFormat="1" ht="27.75" customHeight="1">
      <c r="A42" s="294"/>
      <c r="B42" s="289"/>
      <c r="C42" s="290"/>
      <c r="D42" s="290"/>
      <c r="E42" s="290"/>
      <c r="F42" s="290"/>
      <c r="G42" s="291"/>
      <c r="H42" s="291"/>
      <c r="I42" s="291"/>
      <c r="J42" s="291"/>
      <c r="K42" s="291"/>
      <c r="L42" s="291"/>
      <c r="M42" s="292"/>
    </row>
    <row r="43" spans="1:13" s="89" customFormat="1" ht="27.75" customHeight="1">
      <c r="A43" s="288"/>
      <c r="B43" s="289"/>
      <c r="C43" s="290"/>
      <c r="D43" s="290"/>
      <c r="E43" s="290"/>
      <c r="F43" s="290"/>
      <c r="G43" s="291"/>
      <c r="H43" s="291"/>
      <c r="I43" s="291"/>
      <c r="J43" s="291"/>
      <c r="K43" s="291"/>
      <c r="L43" s="291"/>
      <c r="M43" s="292"/>
    </row>
    <row r="44" spans="1:12" ht="25.5" customHeight="1">
      <c r="A44" s="200"/>
      <c r="B44" s="293"/>
      <c r="C44" s="184"/>
      <c r="D44" s="184"/>
      <c r="E44" s="184"/>
      <c r="F44" s="184"/>
      <c r="G44" s="184"/>
      <c r="H44" s="184"/>
      <c r="I44" s="184"/>
      <c r="J44" s="297"/>
      <c r="K44" s="297"/>
      <c r="L44" s="297"/>
    </row>
  </sheetData>
  <sheetProtection/>
  <mergeCells count="59">
    <mergeCell ref="A5:A6"/>
    <mergeCell ref="B5:B7"/>
    <mergeCell ref="C5:D5"/>
    <mergeCell ref="E5:F5"/>
    <mergeCell ref="C6:C7"/>
    <mergeCell ref="D6:D7"/>
    <mergeCell ref="M5:M7"/>
    <mergeCell ref="L6:L7"/>
    <mergeCell ref="G5:H5"/>
    <mergeCell ref="I5:J5"/>
    <mergeCell ref="A3:L3"/>
    <mergeCell ref="A4:L4"/>
    <mergeCell ref="E6:E7"/>
    <mergeCell ref="F6:F7"/>
    <mergeCell ref="G6:G7"/>
    <mergeCell ref="H6:H7"/>
    <mergeCell ref="I6:I7"/>
    <mergeCell ref="J6:J7"/>
    <mergeCell ref="K6:K7"/>
    <mergeCell ref="K5:L5"/>
    <mergeCell ref="A14:A15"/>
    <mergeCell ref="B14:B16"/>
    <mergeCell ref="C14:D14"/>
    <mergeCell ref="E14:F14"/>
    <mergeCell ref="E15:E16"/>
    <mergeCell ref="F15:F16"/>
    <mergeCell ref="D15:D16"/>
    <mergeCell ref="G14:H14"/>
    <mergeCell ref="I14:J14"/>
    <mergeCell ref="K14:L14"/>
    <mergeCell ref="C15:C16"/>
    <mergeCell ref="G15:G16"/>
    <mergeCell ref="L15:L16"/>
    <mergeCell ref="H15:H16"/>
    <mergeCell ref="I15:I16"/>
    <mergeCell ref="J15:J16"/>
    <mergeCell ref="K15:K16"/>
    <mergeCell ref="A25:A26"/>
    <mergeCell ref="B25:B27"/>
    <mergeCell ref="C25:D25"/>
    <mergeCell ref="E25:F25"/>
    <mergeCell ref="K25:L25"/>
    <mergeCell ref="C26:C27"/>
    <mergeCell ref="D26:D27"/>
    <mergeCell ref="E26:E27"/>
    <mergeCell ref="F26:F27"/>
    <mergeCell ref="G26:G27"/>
    <mergeCell ref="H26:H27"/>
    <mergeCell ref="I26:I27"/>
    <mergeCell ref="A1:M1"/>
    <mergeCell ref="A2:M2"/>
    <mergeCell ref="M14:M16"/>
    <mergeCell ref="M25:M27"/>
    <mergeCell ref="C24:L24"/>
    <mergeCell ref="J26:J27"/>
    <mergeCell ref="K26:K27"/>
    <mergeCell ref="L26:L27"/>
    <mergeCell ref="G25:H25"/>
    <mergeCell ref="I25:J25"/>
  </mergeCells>
  <printOptions horizontalCentered="1"/>
  <pageMargins left="0.3937007874015748" right="0.3937007874015748" top="0.5118110236220472" bottom="0.7086614173228347" header="0.5118110236220472" footer="0.5118110236220472"/>
  <pageSetup horizontalDpi="600" verticalDpi="600" orientation="landscape" paperSize="9" r:id="rId2"/>
  <headerFooter alignWithMargins="0">
    <oddFooter>&amp;R&amp;P</oddFooter>
  </headerFooter>
  <rowBreaks count="3" manualBreakCount="3">
    <brk id="13" max="255" man="1"/>
    <brk id="24" max="255" man="1"/>
    <brk id="32" max="255" man="1"/>
  </rowBreaks>
  <drawing r:id="rId1"/>
</worksheet>
</file>

<file path=xl/worksheets/sheet6.xml><?xml version="1.0" encoding="utf-8"?>
<worksheet xmlns="http://schemas.openxmlformats.org/spreadsheetml/2006/main" xmlns:r="http://schemas.openxmlformats.org/officeDocument/2006/relationships">
  <dimension ref="A1:DO102"/>
  <sheetViews>
    <sheetView tabSelected="1" view="pageBreakPreview" zoomScale="75" zoomScaleNormal="80" zoomScaleSheetLayoutView="75" zoomScalePageLayoutView="0" workbookViewId="0" topLeftCell="A1">
      <selection activeCell="N87" sqref="N87"/>
    </sheetView>
  </sheetViews>
  <sheetFormatPr defaultColWidth="9.140625" defaultRowHeight="12.75"/>
  <cols>
    <col min="1" max="1" width="26.8515625" style="23" customWidth="1"/>
    <col min="2" max="2" width="12.140625" style="23" customWidth="1"/>
    <col min="3" max="3" width="5.57421875" style="23" customWidth="1"/>
    <col min="4" max="5" width="5.421875" style="23" customWidth="1"/>
    <col min="6" max="7" width="5.57421875" style="23" customWidth="1"/>
    <col min="8" max="10" width="5.421875" style="23" customWidth="1"/>
    <col min="11" max="11" width="5.57421875" style="23" customWidth="1"/>
    <col min="12" max="12" width="5.421875" style="23" customWidth="1"/>
    <col min="13" max="13" width="27.00390625" style="23" customWidth="1"/>
    <col min="14" max="14" width="10.57421875" style="23" customWidth="1"/>
    <col min="15" max="15" width="10.28125" style="23" customWidth="1"/>
    <col min="16" max="16384" width="9.140625" style="23" customWidth="1"/>
  </cols>
  <sheetData>
    <row r="1" spans="1:15" ht="21.75" customHeight="1">
      <c r="A1" s="1297" t="s">
        <v>149</v>
      </c>
      <c r="B1" s="1297"/>
      <c r="C1" s="1297"/>
      <c r="D1" s="1297"/>
      <c r="E1" s="1297"/>
      <c r="F1" s="1297"/>
      <c r="G1" s="1297"/>
      <c r="H1" s="1297"/>
      <c r="I1" s="1297"/>
      <c r="J1" s="1297"/>
      <c r="K1" s="1297"/>
      <c r="L1" s="1297"/>
      <c r="M1" s="1298"/>
      <c r="N1" s="1298"/>
      <c r="O1" s="1298"/>
    </row>
    <row r="2" spans="1:15" ht="20.25" customHeight="1">
      <c r="A2" s="1299" t="s">
        <v>167</v>
      </c>
      <c r="B2" s="1299"/>
      <c r="C2" s="1299"/>
      <c r="D2" s="1299"/>
      <c r="E2" s="1299"/>
      <c r="F2" s="1299"/>
      <c r="G2" s="1299"/>
      <c r="H2" s="1299"/>
      <c r="I2" s="1299"/>
      <c r="J2" s="1299"/>
      <c r="K2" s="1299"/>
      <c r="L2" s="1299"/>
      <c r="M2" s="1145"/>
      <c r="N2" s="1145"/>
      <c r="O2" s="1145"/>
    </row>
    <row r="3" spans="1:14" ht="25.5" customHeight="1">
      <c r="A3" s="1295" t="s">
        <v>355</v>
      </c>
      <c r="B3" s="1295"/>
      <c r="C3" s="1295"/>
      <c r="D3" s="1295"/>
      <c r="E3" s="1295"/>
      <c r="F3" s="1295"/>
      <c r="G3" s="1295"/>
      <c r="H3" s="1295"/>
      <c r="I3" s="1295"/>
      <c r="J3" s="1295"/>
      <c r="K3" s="1295"/>
      <c r="L3" s="1295"/>
      <c r="M3" s="1295"/>
      <c r="N3" s="849">
        <v>4.2</v>
      </c>
    </row>
    <row r="4" spans="1:13" ht="28.5" customHeight="1" thickBot="1">
      <c r="A4" s="1296" t="s">
        <v>868</v>
      </c>
      <c r="B4" s="1296"/>
      <c r="C4" s="1296"/>
      <c r="D4" s="1296"/>
      <c r="E4" s="1296"/>
      <c r="F4" s="1296"/>
      <c r="G4" s="1296"/>
      <c r="H4" s="1296"/>
      <c r="I4" s="1296"/>
      <c r="J4" s="1296"/>
      <c r="K4" s="1296"/>
      <c r="L4" s="1296"/>
      <c r="M4" s="1296"/>
    </row>
    <row r="5" spans="1:15" s="1" customFormat="1" ht="12.75" customHeight="1">
      <c r="A5" s="1293" t="s">
        <v>447</v>
      </c>
      <c r="B5" s="1054" t="s">
        <v>180</v>
      </c>
      <c r="C5" s="1049">
        <v>2011</v>
      </c>
      <c r="D5" s="1049"/>
      <c r="E5" s="1049">
        <v>2012</v>
      </c>
      <c r="F5" s="1049"/>
      <c r="G5" s="1049">
        <v>2013</v>
      </c>
      <c r="H5" s="1049"/>
      <c r="I5" s="1049">
        <v>2014</v>
      </c>
      <c r="J5" s="1049"/>
      <c r="K5" s="1049">
        <v>2015</v>
      </c>
      <c r="L5" s="1263"/>
      <c r="M5" s="1287" t="s">
        <v>515</v>
      </c>
      <c r="N5" s="1281" t="s">
        <v>204</v>
      </c>
      <c r="O5" s="1281" t="s">
        <v>205</v>
      </c>
    </row>
    <row r="6" spans="1:15" s="1" customFormat="1" ht="18" customHeight="1">
      <c r="A6" s="1294"/>
      <c r="B6" s="1055"/>
      <c r="C6" s="1261" t="s">
        <v>182</v>
      </c>
      <c r="D6" s="1261" t="s">
        <v>181</v>
      </c>
      <c r="E6" s="1261" t="s">
        <v>182</v>
      </c>
      <c r="F6" s="1261" t="s">
        <v>181</v>
      </c>
      <c r="G6" s="1261" t="s">
        <v>182</v>
      </c>
      <c r="H6" s="1261" t="s">
        <v>181</v>
      </c>
      <c r="I6" s="1261" t="s">
        <v>182</v>
      </c>
      <c r="J6" s="1261" t="s">
        <v>181</v>
      </c>
      <c r="K6" s="1261" t="s">
        <v>182</v>
      </c>
      <c r="L6" s="1264" t="s">
        <v>181</v>
      </c>
      <c r="M6" s="1288"/>
      <c r="N6" s="1281"/>
      <c r="O6" s="1281"/>
    </row>
    <row r="7" spans="1:15" s="1" customFormat="1" ht="21.75" customHeight="1">
      <c r="A7" s="5" t="s">
        <v>179</v>
      </c>
      <c r="B7" s="1055"/>
      <c r="C7" s="1262"/>
      <c r="D7" s="1262"/>
      <c r="E7" s="1262"/>
      <c r="F7" s="1262"/>
      <c r="G7" s="1262"/>
      <c r="H7" s="1262"/>
      <c r="I7" s="1262"/>
      <c r="J7" s="1262"/>
      <c r="K7" s="1262"/>
      <c r="L7" s="1265"/>
      <c r="M7" s="1289"/>
      <c r="N7" s="1281"/>
      <c r="O7" s="1281"/>
    </row>
    <row r="8" spans="1:15" ht="145.5" customHeight="1">
      <c r="A8" s="390" t="s">
        <v>33</v>
      </c>
      <c r="B8" s="391">
        <v>600000</v>
      </c>
      <c r="C8" s="392"/>
      <c r="D8" s="393"/>
      <c r="E8" s="393"/>
      <c r="F8" s="393"/>
      <c r="G8" s="393"/>
      <c r="H8" s="394"/>
      <c r="I8" s="394"/>
      <c r="J8" s="394"/>
      <c r="K8" s="394"/>
      <c r="L8" s="395"/>
      <c r="M8" s="396" t="s">
        <v>40</v>
      </c>
      <c r="N8" s="397">
        <f>O8*N3</f>
        <v>2520000</v>
      </c>
      <c r="O8" s="397">
        <v>600000</v>
      </c>
    </row>
    <row r="9" spans="1:119" s="402" customFormat="1" ht="73.5" customHeight="1">
      <c r="A9" s="390" t="s">
        <v>660</v>
      </c>
      <c r="B9" s="398">
        <v>228550</v>
      </c>
      <c r="C9" s="399"/>
      <c r="D9" s="399"/>
      <c r="E9" s="399"/>
      <c r="F9" s="399"/>
      <c r="G9" s="399"/>
      <c r="H9" s="399"/>
      <c r="I9" s="399"/>
      <c r="J9" s="399"/>
      <c r="K9" s="399"/>
      <c r="L9" s="399"/>
      <c r="M9" s="400" t="s">
        <v>203</v>
      </c>
      <c r="N9" s="397">
        <v>938972</v>
      </c>
      <c r="O9" s="397">
        <f>N9/$N$3</f>
        <v>223564.7619047619</v>
      </c>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c r="DF9" s="401"/>
      <c r="DG9" s="401"/>
      <c r="DH9" s="401"/>
      <c r="DI9" s="401"/>
      <c r="DJ9" s="401"/>
      <c r="DK9" s="401"/>
      <c r="DL9" s="401"/>
      <c r="DM9" s="401"/>
      <c r="DN9" s="401"/>
      <c r="DO9" s="401"/>
    </row>
    <row r="10" spans="1:15" ht="197.25" customHeight="1">
      <c r="A10" s="390" t="s">
        <v>160</v>
      </c>
      <c r="B10" s="403">
        <v>3500000</v>
      </c>
      <c r="C10" s="392"/>
      <c r="D10" s="393"/>
      <c r="E10" s="393"/>
      <c r="F10" s="393"/>
      <c r="G10" s="393"/>
      <c r="H10" s="394"/>
      <c r="I10" s="394"/>
      <c r="J10" s="394"/>
      <c r="K10" s="394"/>
      <c r="L10" s="395"/>
      <c r="M10" s="207" t="s">
        <v>41</v>
      </c>
      <c r="N10" s="397">
        <v>14887600</v>
      </c>
      <c r="O10" s="397">
        <f>N10/$N$3</f>
        <v>3544666.6666666665</v>
      </c>
    </row>
    <row r="11" spans="1:15" ht="72" customHeight="1">
      <c r="A11" s="390" t="s">
        <v>6</v>
      </c>
      <c r="B11" s="391">
        <v>650000</v>
      </c>
      <c r="C11" s="394"/>
      <c r="D11" s="393"/>
      <c r="E11" s="393"/>
      <c r="F11" s="393"/>
      <c r="G11" s="393"/>
      <c r="H11" s="394"/>
      <c r="I11" s="394"/>
      <c r="J11" s="394"/>
      <c r="K11" s="394"/>
      <c r="L11" s="395"/>
      <c r="M11" s="396" t="s">
        <v>29</v>
      </c>
      <c r="N11" s="404">
        <v>2764840</v>
      </c>
      <c r="O11" s="397">
        <f>N11/$N$3</f>
        <v>658295.2380952381</v>
      </c>
    </row>
    <row r="12" spans="1:15" ht="156.75" customHeight="1">
      <c r="A12" s="390" t="s">
        <v>220</v>
      </c>
      <c r="B12" s="391">
        <v>8000000</v>
      </c>
      <c r="C12" s="394"/>
      <c r="D12" s="393"/>
      <c r="E12" s="393"/>
      <c r="F12" s="393"/>
      <c r="G12" s="393"/>
      <c r="H12" s="394"/>
      <c r="I12" s="394"/>
      <c r="J12" s="394"/>
      <c r="K12" s="394"/>
      <c r="L12" s="395"/>
      <c r="M12" s="396" t="s">
        <v>42</v>
      </c>
      <c r="N12" s="873">
        <v>34270400</v>
      </c>
      <c r="O12" s="397">
        <f>N12/$N$3</f>
        <v>8159619.047619048</v>
      </c>
    </row>
    <row r="13" spans="1:15" ht="94.5" customHeight="1">
      <c r="A13" s="405" t="s">
        <v>163</v>
      </c>
      <c r="B13" s="406"/>
      <c r="C13" s="136"/>
      <c r="D13" s="136"/>
      <c r="E13" s="136"/>
      <c r="F13" s="136"/>
      <c r="G13" s="136"/>
      <c r="H13" s="136"/>
      <c r="I13" s="136"/>
      <c r="J13" s="136"/>
      <c r="K13" s="136"/>
      <c r="L13" s="136"/>
      <c r="M13" s="407" t="s">
        <v>28</v>
      </c>
      <c r="N13" s="408"/>
      <c r="O13" s="397"/>
    </row>
    <row r="14" spans="1:15" ht="172.5" customHeight="1">
      <c r="A14" s="390" t="s">
        <v>221</v>
      </c>
      <c r="B14" s="391">
        <v>7150000</v>
      </c>
      <c r="C14" s="97"/>
      <c r="D14" s="98"/>
      <c r="E14" s="98"/>
      <c r="F14" s="86"/>
      <c r="G14" s="86"/>
      <c r="H14" s="86"/>
      <c r="I14" s="86"/>
      <c r="J14" s="86"/>
      <c r="K14" s="85"/>
      <c r="L14" s="409"/>
      <c r="M14" s="396" t="s">
        <v>333</v>
      </c>
      <c r="N14" s="404">
        <v>30629170</v>
      </c>
      <c r="O14" s="397">
        <f>N14/$N$3</f>
        <v>7292659.523809523</v>
      </c>
    </row>
    <row r="15" spans="1:15" ht="84" customHeight="1">
      <c r="A15" s="390" t="s">
        <v>34</v>
      </c>
      <c r="B15" s="391">
        <v>400000</v>
      </c>
      <c r="C15" s="97"/>
      <c r="D15" s="410"/>
      <c r="E15" s="410"/>
      <c r="F15" s="410"/>
      <c r="G15" s="410"/>
      <c r="H15" s="97"/>
      <c r="I15" s="97"/>
      <c r="J15" s="97"/>
      <c r="K15" s="97"/>
      <c r="L15" s="411"/>
      <c r="M15" s="396" t="s">
        <v>332</v>
      </c>
      <c r="N15" s="873">
        <v>1713520</v>
      </c>
      <c r="O15" s="397">
        <f>N15/$N$3</f>
        <v>407980.95238095237</v>
      </c>
    </row>
    <row r="16" spans="1:15" ht="210.75" customHeight="1">
      <c r="A16" s="405" t="s">
        <v>35</v>
      </c>
      <c r="B16" s="406"/>
      <c r="C16" s="136"/>
      <c r="D16" s="136"/>
      <c r="E16" s="136"/>
      <c r="F16" s="136"/>
      <c r="G16" s="136"/>
      <c r="H16" s="136"/>
      <c r="I16" s="136"/>
      <c r="J16" s="136"/>
      <c r="K16" s="136"/>
      <c r="L16" s="136"/>
      <c r="M16" s="407" t="s">
        <v>31</v>
      </c>
      <c r="N16" s="412"/>
      <c r="O16" s="413"/>
    </row>
    <row r="17" spans="1:15" ht="59.25" customHeight="1">
      <c r="A17" s="415" t="s">
        <v>36</v>
      </c>
      <c r="B17" s="391">
        <v>105000</v>
      </c>
      <c r="C17" s="97"/>
      <c r="D17" s="410"/>
      <c r="E17" s="410"/>
      <c r="F17" s="97"/>
      <c r="G17" s="97"/>
      <c r="H17" s="97"/>
      <c r="I17" s="97"/>
      <c r="J17" s="97"/>
      <c r="K17" s="97"/>
      <c r="L17" s="411"/>
      <c r="M17" s="396" t="s">
        <v>43</v>
      </c>
      <c r="N17" s="412"/>
      <c r="O17" s="413"/>
    </row>
    <row r="18" spans="1:15" ht="399" customHeight="1">
      <c r="A18" s="415" t="s">
        <v>38</v>
      </c>
      <c r="B18" s="391">
        <v>3165000</v>
      </c>
      <c r="C18" s="97"/>
      <c r="D18" s="410"/>
      <c r="E18" s="410"/>
      <c r="F18" s="410"/>
      <c r="G18" s="410"/>
      <c r="H18" s="97"/>
      <c r="I18" s="97"/>
      <c r="J18" s="97"/>
      <c r="K18" s="97"/>
      <c r="L18" s="411"/>
      <c r="M18" s="999" t="s">
        <v>331</v>
      </c>
      <c r="N18" s="416">
        <v>13003086</v>
      </c>
      <c r="O18" s="416">
        <f>N18/$N$3</f>
        <v>3095972.857142857</v>
      </c>
    </row>
    <row r="19" spans="1:15" ht="52.5" customHeight="1">
      <c r="A19" s="390" t="s">
        <v>215</v>
      </c>
      <c r="B19" s="398">
        <v>14000</v>
      </c>
      <c r="C19" s="7"/>
      <c r="D19" s="410"/>
      <c r="E19" s="7"/>
      <c r="F19" s="7"/>
      <c r="G19" s="7"/>
      <c r="H19" s="7"/>
      <c r="I19" s="7"/>
      <c r="J19" s="7"/>
      <c r="K19" s="7"/>
      <c r="L19" s="7"/>
      <c r="M19" s="203" t="s">
        <v>30</v>
      </c>
      <c r="N19" s="417">
        <v>45028.8</v>
      </c>
      <c r="O19" s="416">
        <f>N19/$N$3</f>
        <v>10721.142857142857</v>
      </c>
    </row>
    <row r="20" spans="1:15" ht="57" customHeight="1">
      <c r="A20" s="415" t="s">
        <v>7</v>
      </c>
      <c r="B20" s="414">
        <v>290068</v>
      </c>
      <c r="C20" s="97"/>
      <c r="D20" s="410"/>
      <c r="E20" s="97"/>
      <c r="F20" s="97"/>
      <c r="G20" s="97"/>
      <c r="H20" s="97"/>
      <c r="I20" s="97"/>
      <c r="J20" s="97"/>
      <c r="K20" s="97"/>
      <c r="L20" s="97"/>
      <c r="M20" s="396" t="s">
        <v>43</v>
      </c>
      <c r="N20" s="418"/>
      <c r="O20" s="416"/>
    </row>
    <row r="21" spans="1:15" ht="257.25" customHeight="1">
      <c r="A21" s="415" t="s">
        <v>8</v>
      </c>
      <c r="B21" s="414">
        <v>700000</v>
      </c>
      <c r="C21" s="97"/>
      <c r="D21" s="410"/>
      <c r="E21" s="410"/>
      <c r="F21" s="410"/>
      <c r="G21" s="97"/>
      <c r="H21" s="97"/>
      <c r="I21" s="97"/>
      <c r="J21" s="97"/>
      <c r="K21" s="97"/>
      <c r="L21" s="97"/>
      <c r="M21" s="422" t="s">
        <v>930</v>
      </c>
      <c r="N21" s="417">
        <v>2998660</v>
      </c>
      <c r="O21" s="416">
        <f>N21/$N$3</f>
        <v>713966.6666666666</v>
      </c>
    </row>
    <row r="22" spans="1:15" ht="81.75" customHeight="1">
      <c r="A22" s="415" t="s">
        <v>9</v>
      </c>
      <c r="B22" s="414">
        <v>551572</v>
      </c>
      <c r="C22" s="97"/>
      <c r="D22" s="410"/>
      <c r="E22" s="410"/>
      <c r="F22" s="97"/>
      <c r="G22" s="97"/>
      <c r="H22" s="97"/>
      <c r="I22" s="97"/>
      <c r="J22" s="97"/>
      <c r="K22" s="97"/>
      <c r="L22" s="97"/>
      <c r="M22" s="396" t="s">
        <v>43</v>
      </c>
      <c r="N22" s="412"/>
      <c r="O22" s="412"/>
    </row>
    <row r="23" spans="1:15" ht="84" customHeight="1">
      <c r="A23" s="415" t="s">
        <v>10</v>
      </c>
      <c r="B23" s="414">
        <v>560250</v>
      </c>
      <c r="C23" s="97"/>
      <c r="D23" s="410"/>
      <c r="E23" s="410"/>
      <c r="F23" s="410"/>
      <c r="G23" s="97"/>
      <c r="H23" s="97"/>
      <c r="I23" s="97"/>
      <c r="J23" s="97"/>
      <c r="K23" s="97"/>
      <c r="L23" s="97"/>
      <c r="M23" s="396" t="s">
        <v>68</v>
      </c>
      <c r="N23" s="412"/>
      <c r="O23" s="412"/>
    </row>
    <row r="24" spans="1:15" ht="54.75" customHeight="1">
      <c r="A24" s="415" t="s">
        <v>11</v>
      </c>
      <c r="B24" s="391">
        <v>485830</v>
      </c>
      <c r="C24" s="97"/>
      <c r="D24" s="410"/>
      <c r="E24" s="410"/>
      <c r="F24" s="97"/>
      <c r="G24" s="97"/>
      <c r="H24" s="97"/>
      <c r="I24" s="97"/>
      <c r="J24" s="97"/>
      <c r="K24" s="97"/>
      <c r="L24" s="97"/>
      <c r="M24" s="396" t="s">
        <v>43</v>
      </c>
      <c r="N24" s="412"/>
      <c r="O24" s="412"/>
    </row>
    <row r="25" spans="1:15" ht="52.5" customHeight="1">
      <c r="A25" s="415" t="s">
        <v>12</v>
      </c>
      <c r="B25" s="391">
        <v>720272</v>
      </c>
      <c r="C25" s="97"/>
      <c r="D25" s="410"/>
      <c r="E25" s="410"/>
      <c r="F25" s="97"/>
      <c r="G25" s="97"/>
      <c r="H25" s="97"/>
      <c r="I25" s="97"/>
      <c r="J25" s="97"/>
      <c r="K25" s="97"/>
      <c r="L25" s="97"/>
      <c r="M25" s="396" t="s">
        <v>43</v>
      </c>
      <c r="N25" s="412"/>
      <c r="O25" s="412"/>
    </row>
    <row r="26" spans="1:15" ht="58.5" customHeight="1">
      <c r="A26" s="415" t="s">
        <v>13</v>
      </c>
      <c r="B26" s="391">
        <v>200000</v>
      </c>
      <c r="C26" s="97"/>
      <c r="D26" s="410"/>
      <c r="E26" s="410"/>
      <c r="F26" s="410"/>
      <c r="G26" s="410"/>
      <c r="H26" s="97"/>
      <c r="I26" s="97"/>
      <c r="J26" s="97"/>
      <c r="K26" s="97"/>
      <c r="L26" s="97"/>
      <c r="M26" s="396" t="s">
        <v>69</v>
      </c>
      <c r="N26" s="412"/>
      <c r="O26" s="412"/>
    </row>
    <row r="27" spans="1:15" s="1" customFormat="1" ht="42.75" customHeight="1" thickBot="1">
      <c r="A27" s="850" t="s">
        <v>446</v>
      </c>
      <c r="B27" s="588">
        <f>SUM(B8:B26)</f>
        <v>27320542</v>
      </c>
      <c r="C27" s="1290"/>
      <c r="D27" s="1291"/>
      <c r="E27" s="1291"/>
      <c r="F27" s="1291"/>
      <c r="G27" s="1291"/>
      <c r="H27" s="1291"/>
      <c r="I27" s="1291"/>
      <c r="J27" s="1291"/>
      <c r="K27" s="1291"/>
      <c r="L27" s="1292"/>
      <c r="M27" s="851"/>
      <c r="N27" s="852"/>
      <c r="O27" s="853"/>
    </row>
    <row r="28" spans="1:13" s="1" customFormat="1" ht="28.5" customHeight="1" thickBot="1">
      <c r="A28" s="419"/>
      <c r="B28" s="419"/>
      <c r="C28" s="419"/>
      <c r="D28" s="419"/>
      <c r="E28" s="419"/>
      <c r="F28" s="419"/>
      <c r="G28" s="419"/>
      <c r="H28" s="419"/>
      <c r="I28" s="419"/>
      <c r="J28" s="419"/>
      <c r="K28" s="419"/>
      <c r="L28" s="419"/>
      <c r="M28" s="419"/>
    </row>
    <row r="29" spans="1:13" s="1" customFormat="1" ht="12.75" customHeight="1">
      <c r="A29" s="1282" t="s">
        <v>438</v>
      </c>
      <c r="B29" s="1063" t="s">
        <v>180</v>
      </c>
      <c r="C29" s="1058">
        <v>2011</v>
      </c>
      <c r="D29" s="1058"/>
      <c r="E29" s="1058">
        <v>2012</v>
      </c>
      <c r="F29" s="1058"/>
      <c r="G29" s="1058">
        <v>2013</v>
      </c>
      <c r="H29" s="1058"/>
      <c r="I29" s="1058">
        <v>2014</v>
      </c>
      <c r="J29" s="1058"/>
      <c r="K29" s="1058">
        <v>2015</v>
      </c>
      <c r="L29" s="1067"/>
      <c r="M29" s="1284" t="s">
        <v>515</v>
      </c>
    </row>
    <row r="30" spans="1:13" s="1" customFormat="1" ht="15" customHeight="1">
      <c r="A30" s="1283"/>
      <c r="B30" s="1064"/>
      <c r="C30" s="1065" t="s">
        <v>182</v>
      </c>
      <c r="D30" s="1065" t="s">
        <v>181</v>
      </c>
      <c r="E30" s="1065" t="s">
        <v>182</v>
      </c>
      <c r="F30" s="1065" t="s">
        <v>181</v>
      </c>
      <c r="G30" s="1065" t="s">
        <v>182</v>
      </c>
      <c r="H30" s="1065" t="s">
        <v>181</v>
      </c>
      <c r="I30" s="1065" t="s">
        <v>182</v>
      </c>
      <c r="J30" s="1065" t="s">
        <v>181</v>
      </c>
      <c r="K30" s="1065" t="s">
        <v>182</v>
      </c>
      <c r="L30" s="1069" t="s">
        <v>181</v>
      </c>
      <c r="M30" s="1285"/>
    </row>
    <row r="31" spans="1:13" s="1" customFormat="1" ht="15" customHeight="1">
      <c r="A31" s="15" t="s">
        <v>179</v>
      </c>
      <c r="B31" s="1064"/>
      <c r="C31" s="1065"/>
      <c r="D31" s="1065"/>
      <c r="E31" s="1065"/>
      <c r="F31" s="1065"/>
      <c r="G31" s="1065"/>
      <c r="H31" s="1065"/>
      <c r="I31" s="1065"/>
      <c r="J31" s="1065"/>
      <c r="K31" s="1065"/>
      <c r="L31" s="1069"/>
      <c r="M31" s="1286"/>
    </row>
    <row r="32" spans="1:13" ht="93.75" customHeight="1">
      <c r="A32" s="210" t="s">
        <v>159</v>
      </c>
      <c r="B32" s="210">
        <v>88000</v>
      </c>
      <c r="C32" s="97"/>
      <c r="D32" s="97"/>
      <c r="E32" s="410"/>
      <c r="F32" s="410"/>
      <c r="G32" s="97"/>
      <c r="H32" s="97"/>
      <c r="I32" s="97"/>
      <c r="J32" s="97"/>
      <c r="K32" s="97"/>
      <c r="L32" s="411"/>
      <c r="M32" s="396" t="s">
        <v>37</v>
      </c>
    </row>
    <row r="33" spans="1:13" ht="255.75" customHeight="1">
      <c r="A33" s="210" t="s">
        <v>161</v>
      </c>
      <c r="B33" s="420">
        <v>200000</v>
      </c>
      <c r="C33" s="97"/>
      <c r="D33" s="410"/>
      <c r="E33" s="410"/>
      <c r="F33" s="410"/>
      <c r="G33" s="410"/>
      <c r="H33" s="410"/>
      <c r="I33" s="410"/>
      <c r="J33" s="410"/>
      <c r="K33" s="97"/>
      <c r="L33" s="411"/>
      <c r="M33" s="396" t="s">
        <v>330</v>
      </c>
    </row>
    <row r="34" spans="1:13" ht="48" customHeight="1">
      <c r="A34" s="210" t="s">
        <v>170</v>
      </c>
      <c r="B34" s="420">
        <v>350000</v>
      </c>
      <c r="C34" s="97"/>
      <c r="D34" s="410"/>
      <c r="E34" s="410"/>
      <c r="F34" s="97"/>
      <c r="G34" s="97"/>
      <c r="H34" s="97"/>
      <c r="I34" s="97"/>
      <c r="J34" s="97"/>
      <c r="K34" s="97"/>
      <c r="L34" s="411"/>
      <c r="M34" s="396" t="s">
        <v>222</v>
      </c>
    </row>
    <row r="35" spans="1:13" ht="217.5" customHeight="1">
      <c r="A35" s="210" t="s">
        <v>39</v>
      </c>
      <c r="B35" s="266">
        <v>55000</v>
      </c>
      <c r="C35" s="97"/>
      <c r="D35" s="98"/>
      <c r="E35" s="97"/>
      <c r="F35" s="97"/>
      <c r="G35" s="97"/>
      <c r="H35" s="97"/>
      <c r="I35" s="97"/>
      <c r="J35" s="97"/>
      <c r="K35" s="97"/>
      <c r="L35" s="411"/>
      <c r="M35" s="396" t="s">
        <v>931</v>
      </c>
    </row>
    <row r="36" spans="1:13" ht="57.75" customHeight="1">
      <c r="A36" s="210" t="s">
        <v>206</v>
      </c>
      <c r="B36" s="266">
        <v>1000</v>
      </c>
      <c r="C36" s="97"/>
      <c r="D36" s="98"/>
      <c r="E36" s="97"/>
      <c r="F36" s="97"/>
      <c r="G36" s="97"/>
      <c r="H36" s="97"/>
      <c r="I36" s="97"/>
      <c r="J36" s="97"/>
      <c r="K36" s="97"/>
      <c r="L36" s="411"/>
      <c r="M36" s="396" t="s">
        <v>70</v>
      </c>
    </row>
    <row r="37" spans="1:13" ht="150.75" customHeight="1">
      <c r="A37" s="210" t="s">
        <v>207</v>
      </c>
      <c r="B37" s="266">
        <v>32000</v>
      </c>
      <c r="C37" s="97"/>
      <c r="D37" s="98"/>
      <c r="E37" s="97"/>
      <c r="F37" s="97"/>
      <c r="G37" s="97"/>
      <c r="H37" s="97"/>
      <c r="I37" s="97"/>
      <c r="J37" s="97"/>
      <c r="K37" s="97"/>
      <c r="L37" s="411"/>
      <c r="M37" s="396" t="s">
        <v>612</v>
      </c>
    </row>
    <row r="38" spans="1:13" ht="59.25" customHeight="1">
      <c r="A38" s="210" t="s">
        <v>169</v>
      </c>
      <c r="B38" s="420">
        <v>500000</v>
      </c>
      <c r="C38" s="97"/>
      <c r="D38" s="98"/>
      <c r="E38" s="98"/>
      <c r="F38" s="86"/>
      <c r="G38" s="86"/>
      <c r="H38" s="86"/>
      <c r="I38" s="97"/>
      <c r="J38" s="97"/>
      <c r="K38" s="97"/>
      <c r="L38" s="411"/>
      <c r="M38" s="396" t="s">
        <v>43</v>
      </c>
    </row>
    <row r="39" spans="1:13" ht="137.25" customHeight="1">
      <c r="A39" s="210" t="s">
        <v>208</v>
      </c>
      <c r="B39" s="420">
        <v>1000</v>
      </c>
      <c r="C39" s="97"/>
      <c r="D39" s="98"/>
      <c r="E39" s="97"/>
      <c r="F39" s="97"/>
      <c r="G39" s="97"/>
      <c r="H39" s="97"/>
      <c r="I39" s="97"/>
      <c r="J39" s="97"/>
      <c r="K39" s="97"/>
      <c r="L39" s="411"/>
      <c r="M39" s="396" t="s">
        <v>613</v>
      </c>
    </row>
    <row r="40" spans="1:13" ht="84.75" customHeight="1">
      <c r="A40" s="422" t="s">
        <v>209</v>
      </c>
      <c r="B40" s="423">
        <v>50000</v>
      </c>
      <c r="C40" s="424"/>
      <c r="D40" s="425"/>
      <c r="E40" s="425"/>
      <c r="F40" s="426"/>
      <c r="G40" s="426"/>
      <c r="H40" s="426"/>
      <c r="I40" s="426"/>
      <c r="J40" s="426"/>
      <c r="K40" s="426"/>
      <c r="L40" s="426"/>
      <c r="M40" s="427" t="s">
        <v>32</v>
      </c>
    </row>
    <row r="41" spans="1:119" s="402" customFormat="1" ht="72.75" customHeight="1">
      <c r="A41" s="422" t="s">
        <v>162</v>
      </c>
      <c r="B41" s="423">
        <v>103447</v>
      </c>
      <c r="C41" s="424"/>
      <c r="D41" s="425"/>
      <c r="E41" s="425"/>
      <c r="F41" s="426"/>
      <c r="G41" s="426"/>
      <c r="H41" s="426"/>
      <c r="I41" s="426"/>
      <c r="J41" s="426"/>
      <c r="K41" s="426"/>
      <c r="L41" s="426"/>
      <c r="M41" s="427" t="s">
        <v>24</v>
      </c>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401"/>
      <c r="BB41" s="401"/>
      <c r="BC41" s="401"/>
      <c r="BD41" s="401"/>
      <c r="BE41" s="401"/>
      <c r="BF41" s="401"/>
      <c r="BG41" s="401"/>
      <c r="BH41" s="401"/>
      <c r="BI41" s="401"/>
      <c r="BJ41" s="401"/>
      <c r="BK41" s="401"/>
      <c r="BL41" s="401"/>
      <c r="BM41" s="401"/>
      <c r="BN41" s="401"/>
      <c r="BO41" s="401"/>
      <c r="BP41" s="401"/>
      <c r="BQ41" s="401"/>
      <c r="BR41" s="401"/>
      <c r="BS41" s="401"/>
      <c r="BT41" s="401"/>
      <c r="BU41" s="401"/>
      <c r="BV41" s="401"/>
      <c r="BW41" s="401"/>
      <c r="BX41" s="401"/>
      <c r="BY41" s="401"/>
      <c r="BZ41" s="401"/>
      <c r="CA41" s="401"/>
      <c r="CB41" s="401"/>
      <c r="CC41" s="401"/>
      <c r="CD41" s="401"/>
      <c r="CE41" s="401"/>
      <c r="CF41" s="401"/>
      <c r="CG41" s="401"/>
      <c r="CH41" s="401"/>
      <c r="CI41" s="401"/>
      <c r="CJ41" s="401"/>
      <c r="CK41" s="401"/>
      <c r="CL41" s="401"/>
      <c r="CM41" s="401"/>
      <c r="CN41" s="401"/>
      <c r="CO41" s="401"/>
      <c r="CP41" s="401"/>
      <c r="CQ41" s="401"/>
      <c r="CR41" s="401"/>
      <c r="CS41" s="401"/>
      <c r="CT41" s="401"/>
      <c r="CU41" s="401"/>
      <c r="CV41" s="401"/>
      <c r="CW41" s="401"/>
      <c r="CX41" s="401"/>
      <c r="CY41" s="401"/>
      <c r="CZ41" s="401"/>
      <c r="DA41" s="401"/>
      <c r="DB41" s="401"/>
      <c r="DC41" s="401"/>
      <c r="DD41" s="401"/>
      <c r="DE41" s="401"/>
      <c r="DF41" s="401"/>
      <c r="DG41" s="401"/>
      <c r="DH41" s="401"/>
      <c r="DI41" s="401"/>
      <c r="DJ41" s="401"/>
      <c r="DK41" s="401"/>
      <c r="DL41" s="401"/>
      <c r="DM41" s="401"/>
      <c r="DN41" s="401"/>
      <c r="DO41" s="401"/>
    </row>
    <row r="42" spans="1:13" ht="31.5" customHeight="1">
      <c r="A42" s="422" t="s">
        <v>164</v>
      </c>
      <c r="B42" s="423">
        <v>2873200</v>
      </c>
      <c r="C42" s="424"/>
      <c r="D42" s="424"/>
      <c r="E42" s="424"/>
      <c r="F42" s="426"/>
      <c r="G42" s="426"/>
      <c r="H42" s="426"/>
      <c r="I42" s="426"/>
      <c r="J42" s="426"/>
      <c r="K42" s="426"/>
      <c r="L42" s="426"/>
      <c r="M42" s="427" t="s">
        <v>25</v>
      </c>
    </row>
    <row r="43" spans="1:13" ht="140.25" customHeight="1">
      <c r="A43" s="210" t="s">
        <v>210</v>
      </c>
      <c r="B43" s="266">
        <v>50000</v>
      </c>
      <c r="C43" s="424"/>
      <c r="D43" s="425"/>
      <c r="E43" s="425"/>
      <c r="F43" s="204"/>
      <c r="G43" s="204"/>
      <c r="H43" s="204"/>
      <c r="I43" s="204"/>
      <c r="J43" s="204"/>
      <c r="K43" s="204"/>
      <c r="L43" s="428"/>
      <c r="M43" s="421" t="s">
        <v>614</v>
      </c>
    </row>
    <row r="44" spans="1:13" ht="409.5" customHeight="1">
      <c r="A44" s="210" t="s">
        <v>211</v>
      </c>
      <c r="B44" s="266">
        <v>50000</v>
      </c>
      <c r="C44" s="204"/>
      <c r="D44" s="425"/>
      <c r="E44" s="425"/>
      <c r="F44" s="425"/>
      <c r="G44" s="204"/>
      <c r="H44" s="204"/>
      <c r="I44" s="204"/>
      <c r="J44" s="204"/>
      <c r="K44" s="204"/>
      <c r="L44" s="428"/>
      <c r="M44" s="421" t="s">
        <v>932</v>
      </c>
    </row>
    <row r="45" spans="1:13" ht="79.5" customHeight="1">
      <c r="A45" s="210" t="s">
        <v>212</v>
      </c>
      <c r="B45" s="266">
        <v>1000000</v>
      </c>
      <c r="C45" s="204"/>
      <c r="D45" s="424"/>
      <c r="E45" s="425"/>
      <c r="F45" s="204"/>
      <c r="G45" s="204"/>
      <c r="H45" s="204"/>
      <c r="I45" s="204"/>
      <c r="J45" s="204"/>
      <c r="K45" s="204"/>
      <c r="L45" s="428"/>
      <c r="M45" s="396" t="s">
        <v>5</v>
      </c>
    </row>
    <row r="46" spans="1:13" ht="57" customHeight="1">
      <c r="A46" s="210" t="s">
        <v>214</v>
      </c>
      <c r="B46" s="210">
        <v>14000</v>
      </c>
      <c r="C46" s="204"/>
      <c r="D46" s="424"/>
      <c r="E46" s="425"/>
      <c r="F46" s="204"/>
      <c r="G46" s="204"/>
      <c r="H46" s="204"/>
      <c r="I46" s="204"/>
      <c r="J46" s="204"/>
      <c r="K46" s="204"/>
      <c r="L46" s="428"/>
      <c r="M46" s="396" t="s">
        <v>69</v>
      </c>
    </row>
    <row r="47" spans="1:13" ht="409.5" customHeight="1">
      <c r="A47" s="210" t="s">
        <v>213</v>
      </c>
      <c r="B47" s="210">
        <v>1904</v>
      </c>
      <c r="C47" s="204"/>
      <c r="D47" s="424"/>
      <c r="E47" s="425"/>
      <c r="F47" s="204"/>
      <c r="G47" s="204"/>
      <c r="H47" s="204"/>
      <c r="I47" s="204"/>
      <c r="J47" s="204"/>
      <c r="K47" s="204"/>
      <c r="L47" s="428"/>
      <c r="M47" s="396" t="s">
        <v>237</v>
      </c>
    </row>
    <row r="48" spans="1:13" s="401" customFormat="1" ht="73.5" customHeight="1">
      <c r="A48" s="429" t="s">
        <v>168</v>
      </c>
      <c r="B48" s="430"/>
      <c r="C48" s="136"/>
      <c r="D48" s="136"/>
      <c r="E48" s="136"/>
      <c r="F48" s="136"/>
      <c r="G48" s="136"/>
      <c r="H48" s="136"/>
      <c r="I48" s="136"/>
      <c r="J48" s="136"/>
      <c r="K48" s="136"/>
      <c r="L48" s="136"/>
      <c r="M48" s="407" t="s">
        <v>26</v>
      </c>
    </row>
    <row r="49" spans="1:13" s="401" customFormat="1" ht="30.75" customHeight="1">
      <c r="A49" s="210" t="s">
        <v>14</v>
      </c>
      <c r="B49" s="210">
        <v>14555</v>
      </c>
      <c r="C49" s="204"/>
      <c r="D49" s="204"/>
      <c r="E49" s="425"/>
      <c r="F49" s="204"/>
      <c r="G49" s="204"/>
      <c r="H49" s="204"/>
      <c r="I49" s="204"/>
      <c r="J49" s="204"/>
      <c r="K49" s="204"/>
      <c r="L49" s="204"/>
      <c r="M49" s="204"/>
    </row>
    <row r="50" spans="1:13" s="401" customFormat="1" ht="97.5" customHeight="1">
      <c r="A50" s="210" t="s">
        <v>15</v>
      </c>
      <c r="B50" s="210">
        <v>700</v>
      </c>
      <c r="C50" s="204"/>
      <c r="D50" s="204"/>
      <c r="E50" s="425"/>
      <c r="F50" s="204"/>
      <c r="G50" s="204"/>
      <c r="H50" s="204"/>
      <c r="I50" s="204"/>
      <c r="J50" s="204"/>
      <c r="K50" s="204"/>
      <c r="L50" s="204"/>
      <c r="M50" s="431" t="s">
        <v>67</v>
      </c>
    </row>
    <row r="51" spans="1:13" s="401" customFormat="1" ht="98.25" customHeight="1">
      <c r="A51" s="210" t="s">
        <v>16</v>
      </c>
      <c r="B51" s="210">
        <v>36250</v>
      </c>
      <c r="C51" s="204"/>
      <c r="D51" s="204"/>
      <c r="E51" s="425"/>
      <c r="F51" s="204"/>
      <c r="G51" s="204"/>
      <c r="H51" s="204"/>
      <c r="I51" s="204"/>
      <c r="J51" s="204"/>
      <c r="K51" s="204"/>
      <c r="L51" s="204"/>
      <c r="M51" s="431" t="s">
        <v>67</v>
      </c>
    </row>
    <row r="52" spans="1:13" s="1" customFormat="1" ht="42.75" customHeight="1" thickBot="1">
      <c r="A52" s="145" t="s">
        <v>448</v>
      </c>
      <c r="B52" s="600">
        <f>SUM(B32:B51)</f>
        <v>5421056</v>
      </c>
      <c r="C52" s="1266"/>
      <c r="D52" s="1267"/>
      <c r="E52" s="1267"/>
      <c r="F52" s="1267"/>
      <c r="G52" s="1267"/>
      <c r="H52" s="1267"/>
      <c r="I52" s="1267"/>
      <c r="J52" s="1267"/>
      <c r="K52" s="1267"/>
      <c r="L52" s="1268"/>
      <c r="M52" s="854"/>
    </row>
    <row r="53" spans="1:13" s="1" customFormat="1" ht="12.75" customHeight="1">
      <c r="A53" s="1279" t="s">
        <v>439</v>
      </c>
      <c r="B53" s="1071" t="s">
        <v>180</v>
      </c>
      <c r="C53" s="1068">
        <v>2011</v>
      </c>
      <c r="D53" s="1068"/>
      <c r="E53" s="1068">
        <v>2012</v>
      </c>
      <c r="F53" s="1068"/>
      <c r="G53" s="1068">
        <v>2013</v>
      </c>
      <c r="H53" s="1068"/>
      <c r="I53" s="1068">
        <v>2014</v>
      </c>
      <c r="J53" s="1068"/>
      <c r="K53" s="1068">
        <v>2015</v>
      </c>
      <c r="L53" s="1273"/>
      <c r="M53" s="1275" t="s">
        <v>515</v>
      </c>
    </row>
    <row r="54" spans="1:13" s="1" customFormat="1" ht="12.75">
      <c r="A54" s="1280"/>
      <c r="B54" s="1072"/>
      <c r="C54" s="1036" t="s">
        <v>182</v>
      </c>
      <c r="D54" s="1036" t="s">
        <v>181</v>
      </c>
      <c r="E54" s="1036" t="s">
        <v>182</v>
      </c>
      <c r="F54" s="1036" t="s">
        <v>181</v>
      </c>
      <c r="G54" s="1036" t="s">
        <v>182</v>
      </c>
      <c r="H54" s="1036" t="s">
        <v>181</v>
      </c>
      <c r="I54" s="1036" t="s">
        <v>182</v>
      </c>
      <c r="J54" s="1036" t="s">
        <v>181</v>
      </c>
      <c r="K54" s="1036" t="s">
        <v>182</v>
      </c>
      <c r="L54" s="1278" t="s">
        <v>181</v>
      </c>
      <c r="M54" s="1276"/>
    </row>
    <row r="55" spans="1:13" s="1" customFormat="1" ht="17.25" customHeight="1">
      <c r="A55" s="149" t="s">
        <v>179</v>
      </c>
      <c r="B55" s="1072"/>
      <c r="C55" s="1036"/>
      <c r="D55" s="1036"/>
      <c r="E55" s="1036"/>
      <c r="F55" s="1036"/>
      <c r="G55" s="1036"/>
      <c r="H55" s="1036"/>
      <c r="I55" s="1036"/>
      <c r="J55" s="1036"/>
      <c r="K55" s="1036"/>
      <c r="L55" s="1278"/>
      <c r="M55" s="1277"/>
    </row>
    <row r="56" spans="1:13" ht="56.25" customHeight="1">
      <c r="A56" s="859" t="s">
        <v>166</v>
      </c>
      <c r="B56" s="34">
        <v>120000</v>
      </c>
      <c r="C56" s="204"/>
      <c r="D56" s="98"/>
      <c r="E56" s="204"/>
      <c r="F56" s="204"/>
      <c r="G56" s="204"/>
      <c r="H56" s="204"/>
      <c r="I56" s="204"/>
      <c r="J56" s="204"/>
      <c r="K56" s="204"/>
      <c r="L56" s="204"/>
      <c r="M56" s="855" t="s">
        <v>615</v>
      </c>
    </row>
    <row r="57" spans="1:14" s="9" customFormat="1" ht="72.75" customHeight="1">
      <c r="A57" s="432" t="s">
        <v>659</v>
      </c>
      <c r="B57" s="136"/>
      <c r="C57" s="136"/>
      <c r="D57" s="136"/>
      <c r="E57" s="136"/>
      <c r="F57" s="136"/>
      <c r="G57" s="136"/>
      <c r="H57" s="136"/>
      <c r="I57" s="136"/>
      <c r="J57" s="136"/>
      <c r="K57" s="136"/>
      <c r="L57" s="136"/>
      <c r="M57" s="856" t="s">
        <v>27</v>
      </c>
      <c r="N57" s="401"/>
    </row>
    <row r="58" spans="1:13" ht="57" customHeight="1">
      <c r="A58" s="311" t="s">
        <v>657</v>
      </c>
      <c r="B58" s="34">
        <v>118510</v>
      </c>
      <c r="C58" s="116"/>
      <c r="D58" s="98"/>
      <c r="E58" s="116"/>
      <c r="F58" s="116"/>
      <c r="G58" s="116"/>
      <c r="H58" s="116"/>
      <c r="I58" s="116"/>
      <c r="J58" s="117"/>
      <c r="K58" s="117"/>
      <c r="L58" s="117"/>
      <c r="M58" s="857" t="s">
        <v>21</v>
      </c>
    </row>
    <row r="59" spans="1:13" s="9" customFormat="1" ht="136.5" customHeight="1">
      <c r="A59" s="311" t="s">
        <v>165</v>
      </c>
      <c r="B59" s="433">
        <v>14000</v>
      </c>
      <c r="C59" s="116"/>
      <c r="D59" s="116"/>
      <c r="E59" s="434"/>
      <c r="F59" s="434"/>
      <c r="G59" s="116"/>
      <c r="H59" s="116"/>
      <c r="I59" s="116"/>
      <c r="J59" s="116"/>
      <c r="K59" s="116"/>
      <c r="L59" s="116"/>
      <c r="M59" s="857" t="s">
        <v>22</v>
      </c>
    </row>
    <row r="60" spans="1:13" s="9" customFormat="1" ht="130.5" customHeight="1">
      <c r="A60" s="311" t="s">
        <v>658</v>
      </c>
      <c r="B60" s="435">
        <v>6352</v>
      </c>
      <c r="C60" s="116"/>
      <c r="D60" s="116"/>
      <c r="E60" s="434"/>
      <c r="F60" s="116"/>
      <c r="G60" s="116"/>
      <c r="H60" s="116"/>
      <c r="I60" s="116"/>
      <c r="J60" s="116"/>
      <c r="K60" s="116"/>
      <c r="L60" s="116"/>
      <c r="M60" s="858" t="s">
        <v>23</v>
      </c>
    </row>
    <row r="61" spans="1:13" s="9" customFormat="1" ht="57" customHeight="1">
      <c r="A61" s="311" t="s">
        <v>17</v>
      </c>
      <c r="B61" s="205">
        <v>47855</v>
      </c>
      <c r="C61" s="116"/>
      <c r="D61" s="115"/>
      <c r="E61" s="116"/>
      <c r="F61" s="116"/>
      <c r="G61" s="116"/>
      <c r="H61" s="116"/>
      <c r="I61" s="116"/>
      <c r="J61" s="116"/>
      <c r="K61" s="116"/>
      <c r="L61" s="116"/>
      <c r="M61" s="855" t="s">
        <v>43</v>
      </c>
    </row>
    <row r="62" spans="1:13" s="9" customFormat="1" ht="58.5" customHeight="1">
      <c r="A62" s="311" t="s">
        <v>18</v>
      </c>
      <c r="B62" s="205">
        <v>38284</v>
      </c>
      <c r="C62" s="116"/>
      <c r="D62" s="115"/>
      <c r="E62" s="116"/>
      <c r="F62" s="116"/>
      <c r="G62" s="116"/>
      <c r="H62" s="116"/>
      <c r="I62" s="116"/>
      <c r="J62" s="116"/>
      <c r="K62" s="116"/>
      <c r="L62" s="116"/>
      <c r="M62" s="855" t="s">
        <v>43</v>
      </c>
    </row>
    <row r="63" spans="1:13" s="9" customFormat="1" ht="67.5" customHeight="1">
      <c r="A63" s="436" t="s">
        <v>19</v>
      </c>
      <c r="B63" s="205">
        <v>43186</v>
      </c>
      <c r="C63" s="116"/>
      <c r="D63" s="115"/>
      <c r="E63" s="116"/>
      <c r="F63" s="116"/>
      <c r="G63" s="116"/>
      <c r="H63" s="116"/>
      <c r="I63" s="116"/>
      <c r="J63" s="116"/>
      <c r="K63" s="116"/>
      <c r="L63" s="116"/>
      <c r="M63" s="855" t="s">
        <v>43</v>
      </c>
    </row>
    <row r="64" spans="1:13" s="9" customFormat="1" ht="54" customHeight="1">
      <c r="A64" s="436" t="s">
        <v>20</v>
      </c>
      <c r="B64" s="205">
        <v>234</v>
      </c>
      <c r="C64" s="116"/>
      <c r="D64" s="115"/>
      <c r="E64" s="116"/>
      <c r="F64" s="116"/>
      <c r="G64" s="116"/>
      <c r="H64" s="116"/>
      <c r="I64" s="116"/>
      <c r="J64" s="116"/>
      <c r="K64" s="116"/>
      <c r="L64" s="116"/>
      <c r="M64" s="855" t="s">
        <v>43</v>
      </c>
    </row>
    <row r="65" spans="1:13" s="1" customFormat="1" ht="30" customHeight="1" thickBot="1">
      <c r="A65" s="861" t="s">
        <v>441</v>
      </c>
      <c r="B65" s="862">
        <f>SUM(B56:B64)</f>
        <v>388421</v>
      </c>
      <c r="C65" s="863"/>
      <c r="D65" s="863"/>
      <c r="E65" s="864"/>
      <c r="F65" s="864"/>
      <c r="G65" s="864"/>
      <c r="H65" s="864"/>
      <c r="I65" s="864"/>
      <c r="J65" s="864"/>
      <c r="K65" s="864"/>
      <c r="L65" s="865"/>
      <c r="M65" s="866"/>
    </row>
    <row r="66" spans="1:13" s="1" customFormat="1" ht="58.5" customHeight="1" thickBot="1">
      <c r="A66" s="45" t="s">
        <v>442</v>
      </c>
      <c r="B66" s="437"/>
      <c r="C66" s="47"/>
      <c r="D66" s="47"/>
      <c r="E66" s="48"/>
      <c r="F66" s="48"/>
      <c r="G66" s="48"/>
      <c r="H66" s="48"/>
      <c r="I66" s="48"/>
      <c r="J66" s="48"/>
      <c r="K66" s="48"/>
      <c r="L66" s="49"/>
      <c r="M66" s="867"/>
    </row>
    <row r="67" spans="1:13" s="1" customFormat="1" ht="39.75" customHeight="1">
      <c r="A67" s="485"/>
      <c r="B67" s="868"/>
      <c r="C67" s="122"/>
      <c r="D67" s="122"/>
      <c r="E67" s="212"/>
      <c r="F67" s="212"/>
      <c r="G67" s="212"/>
      <c r="H67" s="212"/>
      <c r="I67" s="212"/>
      <c r="J67" s="212"/>
      <c r="K67" s="212"/>
      <c r="L67" s="212"/>
      <c r="M67" s="419"/>
    </row>
    <row r="68" spans="1:13" s="1" customFormat="1" ht="27.75" customHeight="1">
      <c r="A68" s="1270" t="s">
        <v>216</v>
      </c>
      <c r="B68" s="1271"/>
      <c r="C68" s="122"/>
      <c r="D68" s="1269" t="s">
        <v>218</v>
      </c>
      <c r="E68" s="1269"/>
      <c r="F68" s="1145"/>
      <c r="G68" s="1145"/>
      <c r="H68" s="1145"/>
      <c r="I68" s="1145"/>
      <c r="J68" s="1145"/>
      <c r="K68" s="212"/>
      <c r="L68" s="212"/>
      <c r="M68" s="419"/>
    </row>
    <row r="69" spans="1:13" s="1" customFormat="1" ht="22.5" customHeight="1">
      <c r="A69" s="1272" t="s">
        <v>217</v>
      </c>
      <c r="B69" s="1271"/>
      <c r="C69" s="122"/>
      <c r="D69" s="122"/>
      <c r="E69" s="212"/>
      <c r="F69" s="212"/>
      <c r="G69" s="212"/>
      <c r="H69" s="212"/>
      <c r="I69" s="212"/>
      <c r="J69" s="212"/>
      <c r="K69" s="212"/>
      <c r="L69" s="212"/>
      <c r="M69" s="419"/>
    </row>
    <row r="70" spans="1:13" ht="30" customHeight="1">
      <c r="A70" s="1274" t="s">
        <v>219</v>
      </c>
      <c r="B70" s="1271"/>
      <c r="M70" s="438"/>
    </row>
    <row r="71" ht="32.25" customHeight="1" thickBot="1">
      <c r="M71" s="438"/>
    </row>
    <row r="72" spans="1:13" ht="30" customHeight="1">
      <c r="A72" s="1012" t="s">
        <v>175</v>
      </c>
      <c r="B72" s="215">
        <f>B27</f>
        <v>27320542</v>
      </c>
      <c r="M72" s="438"/>
    </row>
    <row r="73" spans="1:13" ht="30.75" customHeight="1">
      <c r="A73" s="1013" t="s">
        <v>176</v>
      </c>
      <c r="B73" s="2">
        <f>B52</f>
        <v>5421056</v>
      </c>
      <c r="M73" s="438"/>
    </row>
    <row r="74" spans="1:13" ht="24.75" customHeight="1">
      <c r="A74" s="1014" t="s">
        <v>177</v>
      </c>
      <c r="B74" s="3">
        <f>B65</f>
        <v>388421</v>
      </c>
      <c r="M74" s="438"/>
    </row>
    <row r="75" spans="1:13" ht="22.5" customHeight="1" thickBot="1">
      <c r="A75" s="612" t="s">
        <v>178</v>
      </c>
      <c r="B75" s="222">
        <f>SUM(B72:B74)</f>
        <v>33130019</v>
      </c>
      <c r="M75" s="438"/>
    </row>
    <row r="76" ht="48.75" customHeight="1">
      <c r="M76" s="438"/>
    </row>
    <row r="77" spans="1:13" ht="12.75">
      <c r="A77" s="128"/>
      <c r="M77" s="438"/>
    </row>
    <row r="78" ht="12.75">
      <c r="M78" s="438"/>
    </row>
    <row r="79" ht="12.75">
      <c r="M79" s="438"/>
    </row>
    <row r="80" ht="12.75">
      <c r="M80" s="438"/>
    </row>
    <row r="81" ht="12.75">
      <c r="M81" s="438"/>
    </row>
    <row r="82" spans="2:13" ht="12.75">
      <c r="B82" s="860">
        <f>B75-'[3]Plan proiecte'!$B$36:$M$36</f>
        <v>11958761</v>
      </c>
      <c r="M82" s="438"/>
    </row>
    <row r="83" spans="13:14" ht="15.75">
      <c r="M83" s="438"/>
      <c r="N83" s="439"/>
    </row>
    <row r="84" ht="12.75">
      <c r="M84" s="438"/>
    </row>
    <row r="85" ht="12.75">
      <c r="M85" s="438"/>
    </row>
    <row r="86" ht="12.75">
      <c r="M86" s="438"/>
    </row>
    <row r="87" ht="12.75">
      <c r="M87" s="438"/>
    </row>
    <row r="88" ht="12.75">
      <c r="M88" s="438"/>
    </row>
    <row r="89" ht="12.75">
      <c r="M89" s="438"/>
    </row>
    <row r="90" ht="12.75">
      <c r="M90" s="438"/>
    </row>
    <row r="91" ht="12.75">
      <c r="M91" s="438"/>
    </row>
    <row r="92" ht="12.75">
      <c r="M92" s="438"/>
    </row>
    <row r="93" ht="12.75">
      <c r="M93" s="438"/>
    </row>
    <row r="94" ht="12.75">
      <c r="M94" s="438"/>
    </row>
    <row r="95" ht="12.75">
      <c r="M95" s="438"/>
    </row>
    <row r="96" ht="12.75">
      <c r="M96" s="438"/>
    </row>
    <row r="97" ht="12.75">
      <c r="M97" s="438"/>
    </row>
    <row r="98" ht="12.75">
      <c r="M98" s="438"/>
    </row>
    <row r="99" ht="12.75">
      <c r="M99" s="438"/>
    </row>
    <row r="100" ht="12.75">
      <c r="M100" s="438"/>
    </row>
    <row r="101" ht="12.75">
      <c r="M101" s="438"/>
    </row>
    <row r="102" ht="12.75">
      <c r="M102" s="438"/>
    </row>
  </sheetData>
  <sheetProtection/>
  <mergeCells count="66">
    <mergeCell ref="A3:M3"/>
    <mergeCell ref="A4:M4"/>
    <mergeCell ref="A1:O1"/>
    <mergeCell ref="A2:O2"/>
    <mergeCell ref="A5:A6"/>
    <mergeCell ref="B5:B7"/>
    <mergeCell ref="C5:D5"/>
    <mergeCell ref="E5:F5"/>
    <mergeCell ref="C6:C7"/>
    <mergeCell ref="D6:D7"/>
    <mergeCell ref="E6:E7"/>
    <mergeCell ref="F6:F7"/>
    <mergeCell ref="J6:J7"/>
    <mergeCell ref="K6:K7"/>
    <mergeCell ref="L6:L7"/>
    <mergeCell ref="I6:I7"/>
    <mergeCell ref="K30:K31"/>
    <mergeCell ref="L30:L31"/>
    <mergeCell ref="M5:M7"/>
    <mergeCell ref="N5:N7"/>
    <mergeCell ref="C27:L27"/>
    <mergeCell ref="G5:H5"/>
    <mergeCell ref="I5:J5"/>
    <mergeCell ref="K5:L5"/>
    <mergeCell ref="G6:G7"/>
    <mergeCell ref="H6:H7"/>
    <mergeCell ref="O5:O7"/>
    <mergeCell ref="A29:A30"/>
    <mergeCell ref="B29:B31"/>
    <mergeCell ref="C29:D29"/>
    <mergeCell ref="E29:F29"/>
    <mergeCell ref="G29:H29"/>
    <mergeCell ref="I29:J29"/>
    <mergeCell ref="K29:L29"/>
    <mergeCell ref="M29:M31"/>
    <mergeCell ref="C30:C31"/>
    <mergeCell ref="D30:D31"/>
    <mergeCell ref="E30:E31"/>
    <mergeCell ref="F30:F31"/>
    <mergeCell ref="G30:G31"/>
    <mergeCell ref="H30:H31"/>
    <mergeCell ref="I30:I31"/>
    <mergeCell ref="J30:J31"/>
    <mergeCell ref="A53:A54"/>
    <mergeCell ref="B53:B55"/>
    <mergeCell ref="C53:D53"/>
    <mergeCell ref="E53:F53"/>
    <mergeCell ref="C54:C55"/>
    <mergeCell ref="D54:D55"/>
    <mergeCell ref="E54:E55"/>
    <mergeCell ref="A70:B70"/>
    <mergeCell ref="M53:M55"/>
    <mergeCell ref="G54:G55"/>
    <mergeCell ref="H54:H55"/>
    <mergeCell ref="I54:I55"/>
    <mergeCell ref="J54:J55"/>
    <mergeCell ref="K54:K55"/>
    <mergeCell ref="L54:L55"/>
    <mergeCell ref="F54:F55"/>
    <mergeCell ref="G53:H53"/>
    <mergeCell ref="C52:L52"/>
    <mergeCell ref="D68:J68"/>
    <mergeCell ref="A68:B68"/>
    <mergeCell ref="A69:B69"/>
    <mergeCell ref="I53:J53"/>
    <mergeCell ref="K53:L53"/>
  </mergeCells>
  <printOptions horizontalCentered="1"/>
  <pageMargins left="0.3937007874015748" right="0.3937007874015748" top="0.5511811023622047" bottom="0.7086614173228347" header="0.5118110236220472" footer="0.5118110236220472"/>
  <pageSetup horizontalDpi="600" verticalDpi="600" orientation="landscape" paperSize="9" r:id="rId4"/>
  <headerFooter alignWithMargins="0">
    <oddFooter>&amp;R&amp;P</oddFooter>
  </headerFooter>
  <rowBreaks count="3" manualBreakCount="3">
    <brk id="28" max="14" man="1"/>
    <brk id="52" max="14" man="1"/>
    <brk id="70" max="14" man="1"/>
  </rowBreaks>
  <drawing r:id="rId3"/>
  <legacyDrawing r:id="rId2"/>
</worksheet>
</file>

<file path=xl/worksheets/sheet7.xml><?xml version="1.0" encoding="utf-8"?>
<worksheet xmlns="http://schemas.openxmlformats.org/spreadsheetml/2006/main" xmlns:r="http://schemas.openxmlformats.org/officeDocument/2006/relationships">
  <dimension ref="A2:O123"/>
  <sheetViews>
    <sheetView view="pageBreakPreview" zoomScale="95" zoomScaleNormal="80" zoomScaleSheetLayoutView="95" workbookViewId="0" topLeftCell="A70">
      <selection activeCell="G76" sqref="G76"/>
    </sheetView>
  </sheetViews>
  <sheetFormatPr defaultColWidth="9.140625" defaultRowHeight="12.75"/>
  <cols>
    <col min="1" max="1" width="21.140625" style="530" customWidth="1"/>
    <col min="2" max="2" width="11.421875" style="556" customWidth="1"/>
    <col min="3" max="3" width="28.8515625" style="530" customWidth="1"/>
    <col min="4" max="4" width="12.00390625" style="556" customWidth="1"/>
    <col min="5" max="5" width="4.7109375" style="556" customWidth="1"/>
    <col min="6" max="6" width="4.57421875" style="556" customWidth="1"/>
    <col min="7" max="7" width="4.8515625" style="556" customWidth="1"/>
    <col min="8" max="9" width="4.57421875" style="556" customWidth="1"/>
    <col min="10" max="11" width="4.8515625" style="556" customWidth="1"/>
    <col min="12" max="12" width="4.7109375" style="556" customWidth="1"/>
    <col min="13" max="13" width="4.57421875" style="556" customWidth="1"/>
    <col min="14" max="14" width="4.8515625" style="556" customWidth="1"/>
    <col min="15" max="15" width="22.00390625" style="530" customWidth="1"/>
    <col min="16" max="16384" width="9.140625" style="530" customWidth="1"/>
  </cols>
  <sheetData>
    <row r="1" ht="31.5" customHeight="1"/>
    <row r="2" spans="1:15" ht="23.25" customHeight="1">
      <c r="A2" s="1328" t="s">
        <v>464</v>
      </c>
      <c r="B2" s="1328"/>
      <c r="C2" s="1328"/>
      <c r="D2" s="1328"/>
      <c r="E2" s="1328"/>
      <c r="F2" s="1328"/>
      <c r="G2" s="1328"/>
      <c r="H2" s="1328"/>
      <c r="I2" s="1328"/>
      <c r="J2" s="1328"/>
      <c r="K2" s="1328"/>
      <c r="L2" s="1328"/>
      <c r="M2" s="1328"/>
      <c r="N2" s="1328"/>
      <c r="O2" s="1246"/>
    </row>
    <row r="3" ht="22.5" customHeight="1"/>
    <row r="4" spans="1:15" ht="22.5" customHeight="1">
      <c r="A4" s="1301" t="s">
        <v>313</v>
      </c>
      <c r="B4" s="1311" t="s">
        <v>847</v>
      </c>
      <c r="C4" s="1311" t="s">
        <v>757</v>
      </c>
      <c r="D4" s="1313" t="s">
        <v>848</v>
      </c>
      <c r="E4" s="1300">
        <v>2011</v>
      </c>
      <c r="F4" s="1300"/>
      <c r="G4" s="1300">
        <v>2012</v>
      </c>
      <c r="H4" s="1300"/>
      <c r="I4" s="1300">
        <v>2013</v>
      </c>
      <c r="J4" s="1300"/>
      <c r="K4" s="1300">
        <v>2014</v>
      </c>
      <c r="L4" s="1300"/>
      <c r="M4" s="1300">
        <v>2015</v>
      </c>
      <c r="N4" s="1300"/>
      <c r="O4" s="1301" t="s">
        <v>314</v>
      </c>
    </row>
    <row r="5" spans="1:15" s="487" customFormat="1" ht="36" customHeight="1">
      <c r="A5" s="1302"/>
      <c r="B5" s="1312"/>
      <c r="C5" s="1312"/>
      <c r="D5" s="1314"/>
      <c r="E5" s="924" t="s">
        <v>182</v>
      </c>
      <c r="F5" s="924" t="s">
        <v>181</v>
      </c>
      <c r="G5" s="924" t="s">
        <v>182</v>
      </c>
      <c r="H5" s="924" t="s">
        <v>181</v>
      </c>
      <c r="I5" s="924" t="s">
        <v>182</v>
      </c>
      <c r="J5" s="924" t="s">
        <v>181</v>
      </c>
      <c r="K5" s="924" t="s">
        <v>182</v>
      </c>
      <c r="L5" s="924" t="s">
        <v>181</v>
      </c>
      <c r="M5" s="924" t="s">
        <v>182</v>
      </c>
      <c r="N5" s="924" t="s">
        <v>181</v>
      </c>
      <c r="O5" s="1302"/>
    </row>
    <row r="6" spans="1:15" s="487" customFormat="1" ht="27.75" customHeight="1">
      <c r="A6" s="1308" t="s">
        <v>849</v>
      </c>
      <c r="B6" s="1309"/>
      <c r="C6" s="1309"/>
      <c r="D6" s="1309"/>
      <c r="E6" s="1309"/>
      <c r="F6" s="1309"/>
      <c r="G6" s="1309"/>
      <c r="H6" s="1309"/>
      <c r="I6" s="1309"/>
      <c r="J6" s="1309"/>
      <c r="K6" s="1309"/>
      <c r="L6" s="1309"/>
      <c r="M6" s="1309"/>
      <c r="N6" s="1309"/>
      <c r="O6" s="1310"/>
    </row>
    <row r="7" spans="1:15" s="487" customFormat="1" ht="27.75" customHeight="1">
      <c r="A7" s="1306" t="s">
        <v>850</v>
      </c>
      <c r="B7" s="1305"/>
      <c r="C7" s="1305"/>
      <c r="D7" s="1305"/>
      <c r="E7" s="1305"/>
      <c r="F7" s="1305"/>
      <c r="G7" s="1305"/>
      <c r="H7" s="1305"/>
      <c r="I7" s="1305"/>
      <c r="J7" s="1305"/>
      <c r="K7" s="1305"/>
      <c r="L7" s="1305"/>
      <c r="M7" s="1305"/>
      <c r="N7" s="1305"/>
      <c r="O7" s="1305"/>
    </row>
    <row r="8" spans="1:15" s="518" customFormat="1" ht="141.75" customHeight="1">
      <c r="A8" s="967" t="s">
        <v>465</v>
      </c>
      <c r="B8" s="982" t="s">
        <v>837</v>
      </c>
      <c r="C8" s="876" t="s">
        <v>761</v>
      </c>
      <c r="D8" s="893">
        <v>72865</v>
      </c>
      <c r="E8" s="962">
        <f>D8/1000000</f>
        <v>0.072865</v>
      </c>
      <c r="F8" s="344"/>
      <c r="G8" s="344"/>
      <c r="H8" s="344"/>
      <c r="I8" s="344"/>
      <c r="J8" s="344"/>
      <c r="K8" s="335"/>
      <c r="L8" s="335"/>
      <c r="M8" s="335"/>
      <c r="N8" s="537"/>
      <c r="O8" s="900" t="s">
        <v>350</v>
      </c>
    </row>
    <row r="9" spans="1:15" s="518" customFormat="1" ht="102">
      <c r="A9" s="968" t="s">
        <v>466</v>
      </c>
      <c r="B9" s="983" t="s">
        <v>837</v>
      </c>
      <c r="C9" s="490" t="s">
        <v>467</v>
      </c>
      <c r="D9" s="893">
        <v>200000</v>
      </c>
      <c r="E9" s="557"/>
      <c r="F9" s="498"/>
      <c r="G9" s="955">
        <f>D9/1000000</f>
        <v>0.2</v>
      </c>
      <c r="H9" s="344"/>
      <c r="I9" s="344"/>
      <c r="J9" s="344"/>
      <c r="K9" s="335"/>
      <c r="L9" s="335"/>
      <c r="M9" s="335"/>
      <c r="N9" s="537"/>
      <c r="O9" s="900" t="s">
        <v>786</v>
      </c>
    </row>
    <row r="10" spans="1:15" s="561" customFormat="1" ht="129" customHeight="1">
      <c r="A10" s="968" t="s">
        <v>528</v>
      </c>
      <c r="B10" s="983" t="s">
        <v>837</v>
      </c>
      <c r="C10" s="490" t="s">
        <v>764</v>
      </c>
      <c r="D10" s="894">
        <f>2000000</f>
        <v>2000000</v>
      </c>
      <c r="E10" s="558"/>
      <c r="F10" s="558"/>
      <c r="G10" s="558"/>
      <c r="H10" s="559"/>
      <c r="I10" s="560"/>
      <c r="J10" s="560"/>
      <c r="K10" s="560"/>
      <c r="L10" s="560"/>
      <c r="M10" s="560"/>
      <c r="N10" s="885">
        <f>D10/1000000</f>
        <v>2</v>
      </c>
      <c r="O10" s="900" t="s">
        <v>468</v>
      </c>
    </row>
    <row r="11" spans="1:15" s="518" customFormat="1" ht="331.5">
      <c r="A11" s="963" t="s">
        <v>173</v>
      </c>
      <c r="B11" s="982" t="s">
        <v>838</v>
      </c>
      <c r="C11" s="876" t="s">
        <v>766</v>
      </c>
      <c r="D11" s="507">
        <f>27050326.25/4.3-D9</f>
        <v>6090773.546511628</v>
      </c>
      <c r="E11" s="496"/>
      <c r="F11" s="562"/>
      <c r="G11" s="493"/>
      <c r="H11" s="493"/>
      <c r="I11" s="493"/>
      <c r="J11" s="962">
        <f>D11/1000000</f>
        <v>6.0907735465116275</v>
      </c>
      <c r="K11" s="335"/>
      <c r="L11" s="335"/>
      <c r="M11" s="335"/>
      <c r="N11" s="537"/>
      <c r="O11" s="900" t="s">
        <v>469</v>
      </c>
    </row>
    <row r="12" spans="1:15" s="487" customFormat="1" ht="127.5">
      <c r="A12" s="967" t="s">
        <v>342</v>
      </c>
      <c r="B12" s="982" t="s">
        <v>933</v>
      </c>
      <c r="C12" s="874" t="s">
        <v>767</v>
      </c>
      <c r="D12" s="895">
        <f>124890.48/4.3</f>
        <v>29044.297674418605</v>
      </c>
      <c r="E12" s="1303" t="s">
        <v>851</v>
      </c>
      <c r="F12" s="1303"/>
      <c r="G12" s="1303"/>
      <c r="H12" s="1303"/>
      <c r="I12" s="1303"/>
      <c r="J12" s="1303"/>
      <c r="K12" s="1303"/>
      <c r="L12" s="1303"/>
      <c r="M12" s="1303"/>
      <c r="N12" s="1303"/>
      <c r="O12" s="900" t="s">
        <v>851</v>
      </c>
    </row>
    <row r="13" spans="1:15" s="208" customFormat="1" ht="255">
      <c r="A13" s="968" t="s">
        <v>852</v>
      </c>
      <c r="B13" s="983" t="s">
        <v>933</v>
      </c>
      <c r="C13" s="490" t="s">
        <v>853</v>
      </c>
      <c r="D13" s="491">
        <f>3480000/4.3</f>
        <v>809302.3255813954</v>
      </c>
      <c r="E13" s="896"/>
      <c r="F13" s="897"/>
      <c r="G13" s="898"/>
      <c r="H13" s="898"/>
      <c r="I13" s="961">
        <f>D13/1000000</f>
        <v>0.8093023255813954</v>
      </c>
      <c r="J13" s="899"/>
      <c r="K13" s="899"/>
      <c r="L13" s="899"/>
      <c r="M13" s="899"/>
      <c r="N13" s="899"/>
      <c r="O13" s="900" t="s">
        <v>470</v>
      </c>
    </row>
    <row r="14" spans="1:15" s="494" customFormat="1" ht="63.75">
      <c r="A14" s="968" t="s">
        <v>765</v>
      </c>
      <c r="B14" s="983" t="s">
        <v>933</v>
      </c>
      <c r="C14" s="490" t="s">
        <v>4</v>
      </c>
      <c r="D14" s="491">
        <v>1500000</v>
      </c>
      <c r="E14" s="495"/>
      <c r="F14" s="495"/>
      <c r="G14" s="495"/>
      <c r="H14" s="496"/>
      <c r="I14" s="497"/>
      <c r="J14" s="885">
        <f>D14/1000000</f>
        <v>1.5</v>
      </c>
      <c r="K14" s="498"/>
      <c r="L14" s="498"/>
      <c r="M14" s="498"/>
      <c r="N14" s="498"/>
      <c r="O14" s="900" t="s">
        <v>471</v>
      </c>
    </row>
    <row r="15" spans="1:15" s="494" customFormat="1" ht="331.5">
      <c r="A15" s="969" t="s">
        <v>3</v>
      </c>
      <c r="B15" s="983" t="s">
        <v>933</v>
      </c>
      <c r="C15" s="490" t="s">
        <v>427</v>
      </c>
      <c r="D15" s="491">
        <f>6249476/4.3</f>
        <v>1453366.511627907</v>
      </c>
      <c r="E15" s="495"/>
      <c r="F15" s="495"/>
      <c r="G15" s="496"/>
      <c r="H15" s="497"/>
      <c r="I15" s="497"/>
      <c r="J15" s="497"/>
      <c r="K15" s="960">
        <f>D15/1000000</f>
        <v>1.4533665116279069</v>
      </c>
      <c r="L15" s="498"/>
      <c r="M15" s="498"/>
      <c r="N15" s="498"/>
      <c r="O15" s="900" t="s">
        <v>472</v>
      </c>
    </row>
    <row r="16" spans="1:15" s="494" customFormat="1" ht="102">
      <c r="A16" s="968" t="s">
        <v>428</v>
      </c>
      <c r="B16" s="983" t="s">
        <v>933</v>
      </c>
      <c r="C16" s="490" t="s">
        <v>854</v>
      </c>
      <c r="D16" s="491">
        <f>8605600/4.3</f>
        <v>2001302.3255813955</v>
      </c>
      <c r="E16" s="498"/>
      <c r="F16" s="501"/>
      <c r="G16" s="495"/>
      <c r="H16" s="502"/>
      <c r="I16" s="503"/>
      <c r="J16" s="503"/>
      <c r="K16" s="503"/>
      <c r="L16" s="885">
        <f>D16/1000000</f>
        <v>2.0013023255813955</v>
      </c>
      <c r="M16" s="498"/>
      <c r="N16" s="498"/>
      <c r="O16" s="900" t="s">
        <v>473</v>
      </c>
    </row>
    <row r="17" spans="1:15" s="494" customFormat="1" ht="165.75">
      <c r="A17" s="968" t="s">
        <v>592</v>
      </c>
      <c r="B17" s="983" t="s">
        <v>933</v>
      </c>
      <c r="C17" s="490" t="s">
        <v>669</v>
      </c>
      <c r="D17" s="491">
        <f>2604000/4.3</f>
        <v>605581.3953488372</v>
      </c>
      <c r="E17" s="495"/>
      <c r="F17" s="495"/>
      <c r="G17" s="495"/>
      <c r="H17" s="496"/>
      <c r="I17" s="497"/>
      <c r="J17" s="885">
        <f>D17/1000000</f>
        <v>0.6055813953488373</v>
      </c>
      <c r="K17" s="495"/>
      <c r="L17" s="498"/>
      <c r="M17" s="498"/>
      <c r="N17" s="498"/>
      <c r="O17" s="900" t="s">
        <v>474</v>
      </c>
    </row>
    <row r="18" spans="1:15" s="487" customFormat="1" ht="382.5">
      <c r="A18" s="968" t="s">
        <v>349</v>
      </c>
      <c r="B18" s="983" t="s">
        <v>839</v>
      </c>
      <c r="C18" s="490" t="s">
        <v>593</v>
      </c>
      <c r="D18" s="491"/>
      <c r="E18" s="541"/>
      <c r="F18" s="541"/>
      <c r="G18" s="496"/>
      <c r="H18" s="503"/>
      <c r="I18" s="885">
        <f>D18/1000000</f>
        <v>0</v>
      </c>
      <c r="J18" s="538"/>
      <c r="K18" s="538"/>
      <c r="L18" s="538"/>
      <c r="M18" s="538"/>
      <c r="N18" s="550"/>
      <c r="O18" s="901" t="s">
        <v>426</v>
      </c>
    </row>
    <row r="19" spans="1:15" s="487" customFormat="1" ht="93" customHeight="1">
      <c r="A19" s="970" t="s">
        <v>968</v>
      </c>
      <c r="B19" s="984" t="s">
        <v>839</v>
      </c>
      <c r="C19" s="875" t="s">
        <v>594</v>
      </c>
      <c r="D19" s="491">
        <v>400000</v>
      </c>
      <c r="E19" s="541"/>
      <c r="F19" s="541"/>
      <c r="G19" s="498"/>
      <c r="H19" s="498"/>
      <c r="I19" s="496"/>
      <c r="J19" s="503"/>
      <c r="K19" s="885">
        <f>D19/1000000</f>
        <v>0.4</v>
      </c>
      <c r="L19" s="538"/>
      <c r="M19" s="538"/>
      <c r="N19" s="550"/>
      <c r="O19" s="900" t="s">
        <v>475</v>
      </c>
    </row>
    <row r="20" spans="1:15" s="563" customFormat="1" ht="89.25">
      <c r="A20" s="967" t="s">
        <v>595</v>
      </c>
      <c r="B20" s="982" t="s">
        <v>596</v>
      </c>
      <c r="C20" s="874" t="s">
        <v>763</v>
      </c>
      <c r="D20" s="488">
        <f>404675/4.3</f>
        <v>94110.46511627907</v>
      </c>
      <c r="E20" s="497"/>
      <c r="F20" s="497"/>
      <c r="G20" s="497"/>
      <c r="H20" s="503"/>
      <c r="I20" s="503"/>
      <c r="J20" s="503"/>
      <c r="K20" s="885">
        <f>D20/1000000</f>
        <v>0.09411046511627907</v>
      </c>
      <c r="L20" s="498"/>
      <c r="M20" s="498"/>
      <c r="N20" s="499"/>
      <c r="O20" s="900" t="s">
        <v>476</v>
      </c>
    </row>
    <row r="21" spans="1:15" s="563" customFormat="1" ht="178.5">
      <c r="A21" s="964" t="s">
        <v>597</v>
      </c>
      <c r="B21" s="983" t="s">
        <v>598</v>
      </c>
      <c r="C21" s="490" t="s">
        <v>762</v>
      </c>
      <c r="D21" s="491">
        <f>7964890/4.3</f>
        <v>1852300</v>
      </c>
      <c r="E21" s="498"/>
      <c r="F21" s="496"/>
      <c r="G21" s="497"/>
      <c r="H21" s="503"/>
      <c r="I21" s="503"/>
      <c r="J21" s="503"/>
      <c r="K21" s="885">
        <f>D21/1000000</f>
        <v>1.8523</v>
      </c>
      <c r="L21" s="498"/>
      <c r="M21" s="498"/>
      <c r="N21" s="499"/>
      <c r="O21" s="901" t="s">
        <v>477</v>
      </c>
    </row>
    <row r="22" spans="1:15" s="487" customFormat="1" ht="114.75">
      <c r="A22" s="966" t="s">
        <v>599</v>
      </c>
      <c r="B22" s="984" t="s">
        <v>600</v>
      </c>
      <c r="C22" s="875" t="s">
        <v>601</v>
      </c>
      <c r="D22" s="491">
        <f>3600000/4.3</f>
        <v>837209.3023255814</v>
      </c>
      <c r="E22" s="541"/>
      <c r="F22" s="496"/>
      <c r="G22" s="503"/>
      <c r="H22" s="503"/>
      <c r="I22" s="503"/>
      <c r="J22" s="885">
        <f>D22/1000000</f>
        <v>0.8372093023255814</v>
      </c>
      <c r="K22" s="538"/>
      <c r="L22" s="538"/>
      <c r="M22" s="538"/>
      <c r="N22" s="550"/>
      <c r="O22" s="900" t="s">
        <v>478</v>
      </c>
    </row>
    <row r="23" spans="1:15" s="487" customFormat="1" ht="204">
      <c r="A23" s="975" t="s">
        <v>602</v>
      </c>
      <c r="B23" s="984" t="s">
        <v>603</v>
      </c>
      <c r="C23" s="875" t="s">
        <v>802</v>
      </c>
      <c r="D23" s="505">
        <f>5484859/4.3</f>
        <v>1275548.6046511629</v>
      </c>
      <c r="E23" s="541"/>
      <c r="F23" s="496"/>
      <c r="G23" s="503"/>
      <c r="H23" s="503"/>
      <c r="I23" s="885">
        <f>D23/1000000</f>
        <v>1.2755486046511628</v>
      </c>
      <c r="J23" s="538"/>
      <c r="K23" s="538"/>
      <c r="L23" s="538"/>
      <c r="M23" s="538"/>
      <c r="N23" s="550"/>
      <c r="O23" s="900" t="s">
        <v>479</v>
      </c>
    </row>
    <row r="24" spans="1:15" s="506" customFormat="1" ht="165.75">
      <c r="A24" s="963" t="s">
        <v>759</v>
      </c>
      <c r="B24" s="982" t="s">
        <v>604</v>
      </c>
      <c r="C24" s="876" t="s">
        <v>661</v>
      </c>
      <c r="D24" s="507">
        <f>16883406.12/4.3*80%</f>
        <v>3141098.813023256</v>
      </c>
      <c r="E24" s="497"/>
      <c r="F24" s="497"/>
      <c r="G24" s="497"/>
      <c r="H24" s="508"/>
      <c r="I24" s="885">
        <f>D24/1000000</f>
        <v>3.141098813023256</v>
      </c>
      <c r="J24" s="492"/>
      <c r="K24" s="509"/>
      <c r="L24" s="509"/>
      <c r="M24" s="509"/>
      <c r="N24" s="510"/>
      <c r="O24" s="901" t="s">
        <v>480</v>
      </c>
    </row>
    <row r="25" spans="1:15" s="487" customFormat="1" ht="140.25">
      <c r="A25" s="964" t="s">
        <v>760</v>
      </c>
      <c r="B25" s="983" t="s">
        <v>604</v>
      </c>
      <c r="C25" s="490" t="s">
        <v>663</v>
      </c>
      <c r="D25" s="491">
        <f>D24*0.3</f>
        <v>942329.6439069768</v>
      </c>
      <c r="E25" s="501"/>
      <c r="F25" s="501"/>
      <c r="G25" s="501"/>
      <c r="H25" s="496"/>
      <c r="I25" s="503"/>
      <c r="J25" s="503"/>
      <c r="K25" s="503"/>
      <c r="L25" s="503"/>
      <c r="M25" s="503"/>
      <c r="N25" s="885">
        <f>D25/1000000</f>
        <v>0.9423296439069768</v>
      </c>
      <c r="O25" s="902"/>
    </row>
    <row r="26" spans="1:15" s="506" customFormat="1" ht="204">
      <c r="A26" s="967" t="s">
        <v>758</v>
      </c>
      <c r="B26" s="982" t="s">
        <v>605</v>
      </c>
      <c r="C26" s="876" t="s">
        <v>662</v>
      </c>
      <c r="D26" s="507">
        <f>86000000/4.3</f>
        <v>20000000</v>
      </c>
      <c r="E26" s="497"/>
      <c r="F26" s="497"/>
      <c r="G26" s="884">
        <f>D26/1000000</f>
        <v>20</v>
      </c>
      <c r="H26" s="492"/>
      <c r="I26" s="492"/>
      <c r="J26" s="492"/>
      <c r="K26" s="509"/>
      <c r="L26" s="509"/>
      <c r="M26" s="509"/>
      <c r="N26" s="510"/>
      <c r="O26" s="901" t="s">
        <v>481</v>
      </c>
    </row>
    <row r="27" spans="1:15" s="563" customFormat="1" ht="153">
      <c r="A27" s="968" t="s">
        <v>606</v>
      </c>
      <c r="B27" s="983" t="s">
        <v>605</v>
      </c>
      <c r="C27" s="490" t="s">
        <v>662</v>
      </c>
      <c r="D27" s="491">
        <f>184900000/4.3</f>
        <v>43000000</v>
      </c>
      <c r="E27" s="501"/>
      <c r="F27" s="502"/>
      <c r="G27" s="502"/>
      <c r="H27" s="503"/>
      <c r="I27" s="503"/>
      <c r="J27" s="503"/>
      <c r="K27" s="503"/>
      <c r="L27" s="503"/>
      <c r="M27" s="503"/>
      <c r="N27" s="884">
        <f>D27/1000000</f>
        <v>43</v>
      </c>
      <c r="O27" s="900" t="s">
        <v>482</v>
      </c>
    </row>
    <row r="28" spans="1:15" s="563" customFormat="1" ht="327.75" customHeight="1">
      <c r="A28" s="968" t="s">
        <v>956</v>
      </c>
      <c r="B28" s="983" t="s">
        <v>838</v>
      </c>
      <c r="C28" s="490" t="s">
        <v>957</v>
      </c>
      <c r="D28" s="491">
        <f>9327081*1.24/4.3</f>
        <v>2689669.869767442</v>
      </c>
      <c r="E28" s="501"/>
      <c r="F28" s="502"/>
      <c r="G28" s="502"/>
      <c r="H28" s="503"/>
      <c r="I28" s="977">
        <f>D28/1000000</f>
        <v>2.689669869767442</v>
      </c>
      <c r="J28" s="498"/>
      <c r="K28" s="498"/>
      <c r="L28" s="498"/>
      <c r="M28" s="498"/>
      <c r="N28" s="978"/>
      <c r="O28" s="900" t="s">
        <v>958</v>
      </c>
    </row>
    <row r="29" spans="1:15" s="563" customFormat="1" ht="75.75" customHeight="1">
      <c r="A29" s="927" t="s">
        <v>344</v>
      </c>
      <c r="B29" s="983" t="s">
        <v>933</v>
      </c>
      <c r="C29" s="504"/>
      <c r="D29" s="491"/>
      <c r="E29" s="501"/>
      <c r="F29" s="501"/>
      <c r="G29" s="501"/>
      <c r="H29" s="498"/>
      <c r="I29" s="498"/>
      <c r="J29" s="498"/>
      <c r="K29" s="498"/>
      <c r="L29" s="498"/>
      <c r="M29" s="498"/>
      <c r="N29" s="499"/>
      <c r="O29" s="911"/>
    </row>
    <row r="30" spans="1:15" s="563" customFormat="1" ht="30" customHeight="1">
      <c r="A30" s="927" t="s">
        <v>345</v>
      </c>
      <c r="B30" s="983" t="s">
        <v>916</v>
      </c>
      <c r="C30" s="504"/>
      <c r="D30" s="491"/>
      <c r="E30" s="501"/>
      <c r="F30" s="501"/>
      <c r="G30" s="501"/>
      <c r="H30" s="498"/>
      <c r="I30" s="498"/>
      <c r="J30" s="498"/>
      <c r="K30" s="498"/>
      <c r="L30" s="498"/>
      <c r="M30" s="498"/>
      <c r="N30" s="499"/>
      <c r="O30" s="911"/>
    </row>
    <row r="31" spans="1:15" s="563" customFormat="1" ht="51.75" customHeight="1">
      <c r="A31" s="927" t="s">
        <v>346</v>
      </c>
      <c r="B31" s="983" t="s">
        <v>917</v>
      </c>
      <c r="C31" s="504"/>
      <c r="D31" s="491"/>
      <c r="E31" s="501"/>
      <c r="F31" s="501"/>
      <c r="G31" s="501"/>
      <c r="H31" s="498"/>
      <c r="I31" s="498"/>
      <c r="J31" s="498"/>
      <c r="K31" s="498"/>
      <c r="L31" s="498"/>
      <c r="M31" s="498"/>
      <c r="N31" s="499"/>
      <c r="O31" s="911"/>
    </row>
    <row r="32" spans="1:15" s="563" customFormat="1" ht="56.25" customHeight="1">
      <c r="A32" s="927" t="s">
        <v>347</v>
      </c>
      <c r="B32" s="983" t="s">
        <v>916</v>
      </c>
      <c r="C32" s="504"/>
      <c r="D32" s="491"/>
      <c r="E32" s="501"/>
      <c r="F32" s="501"/>
      <c r="G32" s="501"/>
      <c r="H32" s="498"/>
      <c r="I32" s="498"/>
      <c r="J32" s="498"/>
      <c r="K32" s="498"/>
      <c r="L32" s="498"/>
      <c r="M32" s="498"/>
      <c r="N32" s="499"/>
      <c r="O32" s="911"/>
    </row>
    <row r="33" spans="1:15" s="563" customFormat="1" ht="164.25" customHeight="1">
      <c r="A33" s="927" t="s">
        <v>801</v>
      </c>
      <c r="B33" s="983" t="s">
        <v>838</v>
      </c>
      <c r="C33" s="504"/>
      <c r="D33" s="491"/>
      <c r="E33" s="501"/>
      <c r="F33" s="501"/>
      <c r="G33" s="501"/>
      <c r="H33" s="498"/>
      <c r="I33" s="498"/>
      <c r="J33" s="498"/>
      <c r="K33" s="498"/>
      <c r="L33" s="498"/>
      <c r="M33" s="498"/>
      <c r="N33" s="499"/>
      <c r="O33" s="911"/>
    </row>
    <row r="34" spans="1:15" s="487" customFormat="1" ht="30" customHeight="1">
      <c r="A34" s="1307" t="s">
        <v>607</v>
      </c>
      <c r="B34" s="1305"/>
      <c r="C34" s="1305"/>
      <c r="D34" s="1305"/>
      <c r="E34" s="1305"/>
      <c r="F34" s="1305"/>
      <c r="G34" s="1305"/>
      <c r="H34" s="1305"/>
      <c r="I34" s="1305"/>
      <c r="J34" s="1305"/>
      <c r="K34" s="1305"/>
      <c r="L34" s="1305"/>
      <c r="M34" s="1305"/>
      <c r="N34" s="1305"/>
      <c r="O34" s="1305"/>
    </row>
    <row r="35" spans="1:15" s="489" customFormat="1" ht="76.5">
      <c r="A35" s="974" t="s">
        <v>158</v>
      </c>
      <c r="B35" s="389" t="s">
        <v>837</v>
      </c>
      <c r="C35" s="880" t="s">
        <v>53</v>
      </c>
      <c r="D35" s="511">
        <f>1854624/4.3</f>
        <v>431307.9069767442</v>
      </c>
      <c r="E35" s="958">
        <f>D35/1000000</f>
        <v>0.4313079069767442</v>
      </c>
      <c r="F35" s="358"/>
      <c r="G35" s="358"/>
      <c r="H35" s="358"/>
      <c r="I35" s="358"/>
      <c r="J35" s="358"/>
      <c r="K35" s="358"/>
      <c r="L35" s="358"/>
      <c r="M35" s="358"/>
      <c r="N35" s="512"/>
      <c r="O35" s="900" t="s">
        <v>483</v>
      </c>
    </row>
    <row r="36" spans="1:15" s="487" customFormat="1" ht="204">
      <c r="A36" s="971" t="s">
        <v>670</v>
      </c>
      <c r="B36" s="389" t="s">
        <v>837</v>
      </c>
      <c r="C36" s="880" t="s">
        <v>608</v>
      </c>
      <c r="D36" s="511">
        <f>4817567/4.3</f>
        <v>1120364.4186046512</v>
      </c>
      <c r="E36" s="513"/>
      <c r="F36" s="513"/>
      <c r="G36" s="959">
        <f>D36/1000000</f>
        <v>1.1203644186046513</v>
      </c>
      <c r="H36" s="359"/>
      <c r="I36" s="359"/>
      <c r="J36" s="359"/>
      <c r="K36" s="359"/>
      <c r="L36" s="359"/>
      <c r="M36" s="359"/>
      <c r="N36" s="514"/>
      <c r="O36" s="900" t="s">
        <v>348</v>
      </c>
    </row>
    <row r="37" spans="1:15" s="489" customFormat="1" ht="89.25">
      <c r="A37" s="971" t="s">
        <v>432</v>
      </c>
      <c r="B37" s="389" t="s">
        <v>837</v>
      </c>
      <c r="C37" s="880" t="s">
        <v>52</v>
      </c>
      <c r="D37" s="511">
        <f>2385182/4.3</f>
        <v>554693.4883720931</v>
      </c>
      <c r="E37" s="515"/>
      <c r="F37" s="515"/>
      <c r="G37" s="958">
        <f>D37/1000000</f>
        <v>0.5546934883720931</v>
      </c>
      <c r="H37" s="358"/>
      <c r="I37" s="358"/>
      <c r="J37" s="358"/>
      <c r="K37" s="358"/>
      <c r="L37" s="358"/>
      <c r="M37" s="358"/>
      <c r="N37" s="512"/>
      <c r="O37" s="900" t="s">
        <v>484</v>
      </c>
    </row>
    <row r="38" spans="1:15" s="487" customFormat="1" ht="127.5">
      <c r="A38" s="971" t="s">
        <v>434</v>
      </c>
      <c r="B38" s="389" t="s">
        <v>837</v>
      </c>
      <c r="C38" s="880" t="s">
        <v>787</v>
      </c>
      <c r="D38" s="511">
        <f>12684275/4.3</f>
        <v>2949831.395348837</v>
      </c>
      <c r="E38" s="359"/>
      <c r="F38" s="516"/>
      <c r="G38" s="513"/>
      <c r="H38" s="513"/>
      <c r="I38" s="513"/>
      <c r="J38" s="513"/>
      <c r="K38" s="979">
        <f>D38/1000000</f>
        <v>2.9498313953488373</v>
      </c>
      <c r="L38" s="359"/>
      <c r="M38" s="514"/>
      <c r="N38" s="980"/>
      <c r="O38" s="900" t="s">
        <v>485</v>
      </c>
    </row>
    <row r="39" spans="1:15" s="487" customFormat="1" ht="177" customHeight="1">
      <c r="A39" s="970" t="s">
        <v>435</v>
      </c>
      <c r="B39" s="984" t="s">
        <v>837</v>
      </c>
      <c r="C39" s="881" t="s">
        <v>55</v>
      </c>
      <c r="D39" s="981">
        <f>8465725*1.24/4.3</f>
        <v>2441278.8372093025</v>
      </c>
      <c r="E39" s="359"/>
      <c r="F39" s="516"/>
      <c r="G39" s="513"/>
      <c r="H39" s="513"/>
      <c r="I39" s="513"/>
      <c r="J39" s="513"/>
      <c r="K39" s="513"/>
      <c r="L39" s="513"/>
      <c r="M39" s="517"/>
      <c r="N39" s="956">
        <f>D39/1000000</f>
        <v>2.4412788372093024</v>
      </c>
      <c r="O39" s="900" t="s">
        <v>788</v>
      </c>
    </row>
    <row r="40" spans="1:15" s="487" customFormat="1" ht="76.5">
      <c r="A40" s="972" t="s">
        <v>433</v>
      </c>
      <c r="B40" s="985" t="s">
        <v>837</v>
      </c>
      <c r="C40" s="912" t="s">
        <v>54</v>
      </c>
      <c r="D40" s="913">
        <v>106046</v>
      </c>
      <c r="E40" s="914"/>
      <c r="F40" s="915"/>
      <c r="G40" s="916"/>
      <c r="H40" s="916"/>
      <c r="I40" s="916"/>
      <c r="J40" s="916"/>
      <c r="K40" s="916"/>
      <c r="L40" s="916"/>
      <c r="M40" s="916"/>
      <c r="N40" s="957">
        <f>D40/1000000</f>
        <v>0.106046</v>
      </c>
      <c r="O40" s="900" t="s">
        <v>486</v>
      </c>
    </row>
    <row r="41" spans="1:15" s="487" customFormat="1" ht="51">
      <c r="A41" s="970" t="s">
        <v>918</v>
      </c>
      <c r="B41" s="984" t="s">
        <v>837</v>
      </c>
      <c r="C41" s="881"/>
      <c r="D41" s="981">
        <f>18879000/4.3</f>
        <v>4390465.11627907</v>
      </c>
      <c r="E41" s="359"/>
      <c r="F41" s="359"/>
      <c r="G41" s="513"/>
      <c r="H41" s="513"/>
      <c r="I41" s="513"/>
      <c r="J41" s="513"/>
      <c r="K41" s="513"/>
      <c r="L41" s="513"/>
      <c r="M41" s="513"/>
      <c r="N41" s="956">
        <f>D41/1000000</f>
        <v>4.390465116279071</v>
      </c>
      <c r="O41" s="900" t="s">
        <v>490</v>
      </c>
    </row>
    <row r="42" spans="1:15" s="487" customFormat="1" ht="26.25" customHeight="1">
      <c r="A42" s="1329" t="s">
        <v>609</v>
      </c>
      <c r="B42" s="1323"/>
      <c r="C42" s="1323"/>
      <c r="D42" s="1323"/>
      <c r="E42" s="1323"/>
      <c r="F42" s="1323"/>
      <c r="G42" s="1323"/>
      <c r="H42" s="1323"/>
      <c r="I42" s="1323"/>
      <c r="J42" s="1323"/>
      <c r="K42" s="1323"/>
      <c r="L42" s="1323"/>
      <c r="M42" s="1323"/>
      <c r="N42" s="1323"/>
      <c r="O42" s="1310"/>
    </row>
    <row r="43" spans="1:15" s="518" customFormat="1" ht="344.25">
      <c r="A43" s="967" t="s">
        <v>425</v>
      </c>
      <c r="B43" s="982" t="s">
        <v>838</v>
      </c>
      <c r="C43" s="904" t="s">
        <v>329</v>
      </c>
      <c r="D43" s="507">
        <f>4700000/4.3</f>
        <v>1093023.2558139535</v>
      </c>
      <c r="E43" s="522"/>
      <c r="F43" s="946">
        <v>1.09</v>
      </c>
      <c r="G43" s="520"/>
      <c r="H43" s="521"/>
      <c r="I43" s="521"/>
      <c r="J43" s="521"/>
      <c r="K43" s="521"/>
      <c r="L43" s="521"/>
      <c r="M43" s="521"/>
      <c r="N43" s="520"/>
      <c r="O43" s="905" t="s">
        <v>487</v>
      </c>
    </row>
    <row r="44" spans="1:15" s="518" customFormat="1" ht="102">
      <c r="A44" s="963" t="s">
        <v>654</v>
      </c>
      <c r="B44" s="982" t="s">
        <v>838</v>
      </c>
      <c r="C44" s="876" t="s">
        <v>0</v>
      </c>
      <c r="D44" s="507">
        <f>3173314/4.3</f>
        <v>737980</v>
      </c>
      <c r="E44" s="522"/>
      <c r="F44" s="522"/>
      <c r="G44" s="946">
        <f>D44/1000000</f>
        <v>0.73798</v>
      </c>
      <c r="H44" s="521"/>
      <c r="I44" s="521"/>
      <c r="J44" s="521"/>
      <c r="K44" s="521"/>
      <c r="L44" s="521"/>
      <c r="M44" s="521"/>
      <c r="N44" s="520"/>
      <c r="O44" s="900" t="s">
        <v>488</v>
      </c>
    </row>
    <row r="45" spans="1:15" s="518" customFormat="1" ht="54.75" customHeight="1">
      <c r="A45" s="968" t="s">
        <v>334</v>
      </c>
      <c r="B45" s="983" t="s">
        <v>838</v>
      </c>
      <c r="C45" s="918"/>
      <c r="D45" s="545">
        <f>651000/4.3</f>
        <v>151395.3488372093</v>
      </c>
      <c r="E45" s="917"/>
      <c r="F45" s="917"/>
      <c r="G45" s="522"/>
      <c r="H45" s="955">
        <f>D45/1000000</f>
        <v>0.15139534883720931</v>
      </c>
      <c r="I45" s="521"/>
      <c r="J45" s="521"/>
      <c r="K45" s="521"/>
      <c r="L45" s="521"/>
      <c r="M45" s="521"/>
      <c r="N45" s="520"/>
      <c r="O45" s="920" t="s">
        <v>335</v>
      </c>
    </row>
    <row r="46" spans="1:15" s="518" customFormat="1" ht="130.5" customHeight="1">
      <c r="A46" s="968" t="s">
        <v>336</v>
      </c>
      <c r="B46" s="983" t="s">
        <v>838</v>
      </c>
      <c r="C46" s="918"/>
      <c r="D46" s="545">
        <f>668856/4.3</f>
        <v>155547.90697674418</v>
      </c>
      <c r="E46" s="917"/>
      <c r="F46" s="917"/>
      <c r="G46" s="522"/>
      <c r="H46" s="955">
        <f>D46/1000000</f>
        <v>0.15554790697674417</v>
      </c>
      <c r="I46" s="521"/>
      <c r="J46" s="521"/>
      <c r="K46" s="521"/>
      <c r="L46" s="521"/>
      <c r="M46" s="521"/>
      <c r="N46" s="520"/>
      <c r="O46" s="920" t="s">
        <v>490</v>
      </c>
    </row>
    <row r="47" spans="1:15" s="487" customFormat="1" ht="89.25">
      <c r="A47" s="968" t="s">
        <v>489</v>
      </c>
      <c r="B47" s="983" t="s">
        <v>838</v>
      </c>
      <c r="C47" s="883" t="s">
        <v>86</v>
      </c>
      <c r="D47" s="491">
        <f>10741157.76/4.3</f>
        <v>2497943.665116279</v>
      </c>
      <c r="E47" s="541"/>
      <c r="F47" s="523"/>
      <c r="G47" s="524"/>
      <c r="H47" s="524"/>
      <c r="I47" s="524"/>
      <c r="J47" s="524"/>
      <c r="K47" s="524"/>
      <c r="L47" s="524"/>
      <c r="M47" s="884">
        <f>D47/1000000</f>
        <v>2.4979436651162787</v>
      </c>
      <c r="N47" s="525"/>
      <c r="O47" s="900" t="s">
        <v>490</v>
      </c>
    </row>
    <row r="48" spans="1:15" s="487" customFormat="1" ht="76.5">
      <c r="A48" s="964" t="s">
        <v>656</v>
      </c>
      <c r="B48" s="983" t="s">
        <v>838</v>
      </c>
      <c r="C48" s="883" t="s">
        <v>87</v>
      </c>
      <c r="D48" s="491">
        <f>4864272/4.3</f>
        <v>1131226.046511628</v>
      </c>
      <c r="E48" s="526"/>
      <c r="F48" s="539"/>
      <c r="G48" s="523"/>
      <c r="H48" s="524"/>
      <c r="I48" s="524"/>
      <c r="J48" s="524"/>
      <c r="K48" s="885">
        <f>D48/1000000</f>
        <v>1.131226046511628</v>
      </c>
      <c r="L48" s="937"/>
      <c r="M48" s="937"/>
      <c r="N48" s="951"/>
      <c r="O48" s="900" t="s">
        <v>490</v>
      </c>
    </row>
    <row r="49" spans="1:15" s="487" customFormat="1" ht="76.5">
      <c r="A49" s="964" t="s">
        <v>751</v>
      </c>
      <c r="B49" s="983" t="s">
        <v>838</v>
      </c>
      <c r="C49" s="490" t="s">
        <v>750</v>
      </c>
      <c r="D49" s="491">
        <f>4000000/4.3</f>
        <v>930232.5581395349</v>
      </c>
      <c r="E49" s="526"/>
      <c r="F49" s="526"/>
      <c r="G49" s="526"/>
      <c r="H49" s="526"/>
      <c r="I49" s="389"/>
      <c r="J49" s="389"/>
      <c r="K49" s="939"/>
      <c r="L49" s="938"/>
      <c r="M49" s="938"/>
      <c r="N49" s="885">
        <f>D49/1000000</f>
        <v>0.9302325581395349</v>
      </c>
      <c r="O49" s="903"/>
    </row>
    <row r="50" spans="1:15" s="518" customFormat="1" ht="180" customHeight="1">
      <c r="A50" s="968" t="s">
        <v>655</v>
      </c>
      <c r="B50" s="983" t="s">
        <v>610</v>
      </c>
      <c r="C50" s="490" t="s">
        <v>611</v>
      </c>
      <c r="D50" s="491">
        <f>2292850/4.3</f>
        <v>533220.9302325582</v>
      </c>
      <c r="E50" s="527"/>
      <c r="F50" s="528"/>
      <c r="G50" s="529"/>
      <c r="H50" s="529"/>
      <c r="I50" s="529"/>
      <c r="J50" s="954">
        <f>D50/1000000</f>
        <v>0.5332209302325581</v>
      </c>
      <c r="K50" s="521"/>
      <c r="L50" s="521"/>
      <c r="M50" s="521"/>
      <c r="N50" s="520"/>
      <c r="O50" s="900" t="s">
        <v>726</v>
      </c>
    </row>
    <row r="51" spans="1:15" ht="181.5" customHeight="1">
      <c r="A51" s="976" t="s">
        <v>655</v>
      </c>
      <c r="B51" s="983" t="s">
        <v>610</v>
      </c>
      <c r="C51" s="531" t="s">
        <v>238</v>
      </c>
      <c r="D51" s="491">
        <v>200000</v>
      </c>
      <c r="E51" s="532"/>
      <c r="F51" s="532"/>
      <c r="G51" s="532"/>
      <c r="H51" s="532"/>
      <c r="I51" s="532"/>
      <c r="J51" s="532"/>
      <c r="K51" s="528"/>
      <c r="L51" s="503"/>
      <c r="M51" s="503"/>
      <c r="N51" s="885">
        <f>D51/1000000</f>
        <v>0.2</v>
      </c>
      <c r="O51" s="903"/>
    </row>
    <row r="52" spans="1:15" s="506" customFormat="1" ht="159.75" customHeight="1">
      <c r="A52" s="968" t="s">
        <v>1</v>
      </c>
      <c r="B52" s="983" t="s">
        <v>239</v>
      </c>
      <c r="C52" s="490" t="s">
        <v>2</v>
      </c>
      <c r="D52" s="491">
        <f>4296610/4.3</f>
        <v>999211.6279069767</v>
      </c>
      <c r="E52" s="533"/>
      <c r="F52" s="534"/>
      <c r="G52" s="508"/>
      <c r="H52" s="508"/>
      <c r="I52" s="535"/>
      <c r="J52" s="885">
        <f>D52/1000000</f>
        <v>0.9992116279069767</v>
      </c>
      <c r="K52" s="509"/>
      <c r="L52" s="509"/>
      <c r="M52" s="509"/>
      <c r="N52" s="510"/>
      <c r="O52" s="905" t="s">
        <v>727</v>
      </c>
    </row>
    <row r="53" spans="1:15" s="487" customFormat="1" ht="25.5" customHeight="1">
      <c r="A53" s="1304" t="s">
        <v>240</v>
      </c>
      <c r="B53" s="1304"/>
      <c r="C53" s="1304"/>
      <c r="D53" s="1304"/>
      <c r="E53" s="1305"/>
      <c r="F53" s="1305"/>
      <c r="G53" s="1305"/>
      <c r="H53" s="1305"/>
      <c r="I53" s="1305"/>
      <c r="J53" s="1305"/>
      <c r="K53" s="1305"/>
      <c r="L53" s="1305"/>
      <c r="M53" s="1305"/>
      <c r="N53" s="1305"/>
      <c r="O53" s="1305"/>
    </row>
    <row r="54" spans="1:15" s="518" customFormat="1" ht="409.5">
      <c r="A54" s="967" t="s">
        <v>664</v>
      </c>
      <c r="B54" s="982" t="s">
        <v>610</v>
      </c>
      <c r="C54" s="876" t="s">
        <v>85</v>
      </c>
      <c r="D54" s="507">
        <f>12016665/4.3</f>
        <v>2794573.2558139535</v>
      </c>
      <c r="E54" s="493"/>
      <c r="F54" s="493"/>
      <c r="G54" s="493"/>
      <c r="H54" s="493"/>
      <c r="I54" s="493"/>
      <c r="J54" s="885">
        <f>D54/1000000</f>
        <v>2.7945732558139533</v>
      </c>
      <c r="K54" s="335"/>
      <c r="L54" s="335"/>
      <c r="M54" s="335"/>
      <c r="N54" s="537"/>
      <c r="O54" s="905" t="s">
        <v>919</v>
      </c>
    </row>
    <row r="55" spans="1:15" ht="191.25">
      <c r="A55" s="976" t="s">
        <v>664</v>
      </c>
      <c r="B55" s="983" t="s">
        <v>610</v>
      </c>
      <c r="C55" s="531" t="s">
        <v>241</v>
      </c>
      <c r="D55" s="491">
        <v>1000000</v>
      </c>
      <c r="E55" s="538"/>
      <c r="F55" s="538"/>
      <c r="G55" s="566"/>
      <c r="H55" s="540"/>
      <c r="I55" s="540"/>
      <c r="J55" s="540"/>
      <c r="K55" s="528"/>
      <c r="L55" s="503"/>
      <c r="M55" s="503"/>
      <c r="N55" s="885">
        <f>D55/1000000</f>
        <v>1</v>
      </c>
      <c r="O55" s="906"/>
    </row>
    <row r="56" spans="1:15" s="518" customFormat="1" ht="293.25">
      <c r="A56" s="967" t="s">
        <v>667</v>
      </c>
      <c r="B56" s="982" t="s">
        <v>596</v>
      </c>
      <c r="C56" s="876" t="s">
        <v>845</v>
      </c>
      <c r="D56" s="507">
        <f>12651825/4.3</f>
        <v>2942284.88372093</v>
      </c>
      <c r="E56" s="493"/>
      <c r="F56" s="493"/>
      <c r="G56" s="946">
        <f>D56/1000000</f>
        <v>2.94228488372093</v>
      </c>
      <c r="H56" s="335"/>
      <c r="I56" s="335"/>
      <c r="J56" s="335"/>
      <c r="K56" s="335"/>
      <c r="L56" s="335"/>
      <c r="M56" s="335"/>
      <c r="N56" s="537"/>
      <c r="O56" s="900" t="s">
        <v>56</v>
      </c>
    </row>
    <row r="57" spans="1:15" s="487" customFormat="1" ht="63.75">
      <c r="A57" s="968" t="s">
        <v>666</v>
      </c>
      <c r="B57" s="983" t="s">
        <v>596</v>
      </c>
      <c r="C57" s="490" t="s">
        <v>156</v>
      </c>
      <c r="D57" s="491">
        <v>1500000</v>
      </c>
      <c r="E57" s="498"/>
      <c r="F57" s="498"/>
      <c r="G57" s="496"/>
      <c r="H57" s="503"/>
      <c r="I57" s="503"/>
      <c r="J57" s="503"/>
      <c r="K57" s="503"/>
      <c r="L57" s="503"/>
      <c r="M57" s="503"/>
      <c r="N57" s="885">
        <f>D57/1000000</f>
        <v>1.5</v>
      </c>
      <c r="O57" s="901" t="s">
        <v>57</v>
      </c>
    </row>
    <row r="58" spans="1:15" s="518" customFormat="1" ht="280.5">
      <c r="A58" s="967" t="s">
        <v>665</v>
      </c>
      <c r="B58" s="982" t="s">
        <v>239</v>
      </c>
      <c r="C58" s="874" t="s">
        <v>155</v>
      </c>
      <c r="D58" s="488">
        <f>12634989.68/4.3</f>
        <v>2938369.693023256</v>
      </c>
      <c r="E58" s="542"/>
      <c r="F58" s="543"/>
      <c r="G58" s="493"/>
      <c r="H58" s="493"/>
      <c r="I58" s="536">
        <f>D58/1000000</f>
        <v>2.938369693023256</v>
      </c>
      <c r="J58" s="335"/>
      <c r="K58" s="335"/>
      <c r="L58" s="335"/>
      <c r="M58" s="335"/>
      <c r="N58" s="537"/>
      <c r="O58" s="901" t="s">
        <v>58</v>
      </c>
    </row>
    <row r="59" spans="1:15" s="487" customFormat="1" ht="63.75">
      <c r="A59" s="968" t="s">
        <v>844</v>
      </c>
      <c r="B59" s="983" t="s">
        <v>239</v>
      </c>
      <c r="C59" s="490" t="s">
        <v>157</v>
      </c>
      <c r="D59" s="491">
        <v>1500000</v>
      </c>
      <c r="E59" s="538"/>
      <c r="F59" s="538"/>
      <c r="G59" s="538"/>
      <c r="H59" s="496"/>
      <c r="I59" s="503"/>
      <c r="J59" s="503"/>
      <c r="K59" s="503"/>
      <c r="L59" s="503"/>
      <c r="M59" s="503"/>
      <c r="N59" s="953">
        <f>D59/1000000</f>
        <v>1.5</v>
      </c>
      <c r="O59" s="886"/>
    </row>
    <row r="60" spans="1:15" s="487" customFormat="1" ht="32.25" customHeight="1">
      <c r="A60" s="1308" t="s">
        <v>242</v>
      </c>
      <c r="B60" s="1309"/>
      <c r="C60" s="1309"/>
      <c r="D60" s="1309"/>
      <c r="E60" s="1309"/>
      <c r="F60" s="1309"/>
      <c r="G60" s="1309"/>
      <c r="H60" s="1309"/>
      <c r="I60" s="1309"/>
      <c r="J60" s="1309"/>
      <c r="K60" s="1309"/>
      <c r="L60" s="1309"/>
      <c r="M60" s="1309"/>
      <c r="N60" s="1309"/>
      <c r="O60" s="1310"/>
    </row>
    <row r="61" spans="1:15" s="487" customFormat="1" ht="27" customHeight="1">
      <c r="A61" s="1321" t="s">
        <v>243</v>
      </c>
      <c r="B61" s="1322"/>
      <c r="C61" s="1322"/>
      <c r="D61" s="1323"/>
      <c r="E61" s="1323"/>
      <c r="F61" s="1323"/>
      <c r="G61" s="1323"/>
      <c r="H61" s="1323"/>
      <c r="I61" s="1323"/>
      <c r="J61" s="1323"/>
      <c r="K61" s="1323"/>
      <c r="L61" s="1323"/>
      <c r="M61" s="1323"/>
      <c r="N61" s="1323"/>
      <c r="O61" s="1310"/>
    </row>
    <row r="62" spans="1:15" s="489" customFormat="1" ht="165.75">
      <c r="A62" s="963" t="s">
        <v>44</v>
      </c>
      <c r="B62" s="982" t="s">
        <v>840</v>
      </c>
      <c r="C62" s="882" t="s">
        <v>768</v>
      </c>
      <c r="D62" s="488">
        <v>90465</v>
      </c>
      <c r="E62" s="544">
        <f>D62/1000000</f>
        <v>0.090465</v>
      </c>
      <c r="F62" s="521"/>
      <c r="G62" s="521"/>
      <c r="H62" s="521"/>
      <c r="I62" s="521"/>
      <c r="J62" s="521"/>
      <c r="K62" s="521"/>
      <c r="L62" s="521"/>
      <c r="M62" s="521"/>
      <c r="N62" s="520"/>
      <c r="O62" s="905" t="s">
        <v>59</v>
      </c>
    </row>
    <row r="63" spans="1:15" s="487" customFormat="1" ht="153">
      <c r="A63" s="964" t="s">
        <v>244</v>
      </c>
      <c r="B63" s="983" t="s">
        <v>840</v>
      </c>
      <c r="C63" s="881" t="s">
        <v>60</v>
      </c>
      <c r="D63" s="545">
        <f>10620600/4.3</f>
        <v>2469906.976744186</v>
      </c>
      <c r="E63" s="498"/>
      <c r="F63" s="498"/>
      <c r="G63" s="496"/>
      <c r="H63" s="503"/>
      <c r="I63" s="503"/>
      <c r="J63" s="503"/>
      <c r="K63" s="503"/>
      <c r="L63" s="931"/>
      <c r="M63" s="944"/>
      <c r="N63" s="885">
        <f>D63/1000000</f>
        <v>2.469906976744186</v>
      </c>
      <c r="O63" s="905" t="s">
        <v>61</v>
      </c>
    </row>
    <row r="64" spans="1:15" s="487" customFormat="1" ht="51">
      <c r="A64" s="966" t="s">
        <v>45</v>
      </c>
      <c r="B64" s="983" t="s">
        <v>840</v>
      </c>
      <c r="C64" s="881" t="s">
        <v>769</v>
      </c>
      <c r="D64" s="545">
        <v>3000000</v>
      </c>
      <c r="E64" s="538"/>
      <c r="F64" s="498"/>
      <c r="G64" s="498"/>
      <c r="H64" s="496"/>
      <c r="I64" s="503"/>
      <c r="J64" s="503"/>
      <c r="K64" s="546"/>
      <c r="L64" s="885">
        <f>D64/1000000</f>
        <v>3</v>
      </c>
      <c r="M64" s="930"/>
      <c r="N64" s="949"/>
      <c r="O64" s="906"/>
    </row>
    <row r="65" spans="1:15" s="487" customFormat="1" ht="216.75">
      <c r="A65" s="965" t="s">
        <v>46</v>
      </c>
      <c r="B65" s="982" t="s">
        <v>840</v>
      </c>
      <c r="C65" s="880" t="s">
        <v>770</v>
      </c>
      <c r="D65" s="488">
        <f>2228190/4.3</f>
        <v>518183.7209302326</v>
      </c>
      <c r="E65" s="503"/>
      <c r="F65" s="503"/>
      <c r="G65" s="503"/>
      <c r="H65" s="546"/>
      <c r="I65" s="503"/>
      <c r="J65" s="885">
        <f>D65/1000000</f>
        <v>0.5181837209302326</v>
      </c>
      <c r="K65" s="930"/>
      <c r="L65" s="930"/>
      <c r="M65" s="930"/>
      <c r="N65" s="949"/>
      <c r="O65" s="905" t="s">
        <v>62</v>
      </c>
    </row>
    <row r="66" spans="1:15" s="487" customFormat="1" ht="25.5">
      <c r="A66" s="966" t="s">
        <v>47</v>
      </c>
      <c r="B66" s="983" t="s">
        <v>840</v>
      </c>
      <c r="C66" s="881" t="s">
        <v>88</v>
      </c>
      <c r="D66" s="545">
        <v>200000</v>
      </c>
      <c r="E66" s="538"/>
      <c r="F66" s="538"/>
      <c r="G66" s="498"/>
      <c r="H66" s="498"/>
      <c r="I66" s="496"/>
      <c r="J66" s="931"/>
      <c r="K66" s="931"/>
      <c r="L66" s="931"/>
      <c r="M66" s="931"/>
      <c r="N66" s="885">
        <f>D66/1000000</f>
        <v>0.2</v>
      </c>
      <c r="O66" s="906"/>
    </row>
    <row r="67" spans="1:15" s="487" customFormat="1" ht="102">
      <c r="A67" s="970" t="s">
        <v>48</v>
      </c>
      <c r="B67" s="983" t="s">
        <v>840</v>
      </c>
      <c r="C67" s="883" t="s">
        <v>89</v>
      </c>
      <c r="D67" s="545">
        <v>300000</v>
      </c>
      <c r="E67" s="498"/>
      <c r="F67" s="496"/>
      <c r="G67" s="503"/>
      <c r="H67" s="503"/>
      <c r="I67" s="885">
        <f>D67/1000000</f>
        <v>0.3</v>
      </c>
      <c r="J67" s="930"/>
      <c r="K67" s="930"/>
      <c r="L67" s="930"/>
      <c r="M67" s="930"/>
      <c r="N67" s="949"/>
      <c r="O67" s="906"/>
    </row>
    <row r="68" spans="1:15" s="487" customFormat="1" ht="38.25">
      <c r="A68" s="970" t="s">
        <v>49</v>
      </c>
      <c r="B68" s="983" t="s">
        <v>840</v>
      </c>
      <c r="C68" s="881" t="s">
        <v>90</v>
      </c>
      <c r="D68" s="545">
        <v>1000000</v>
      </c>
      <c r="E68" s="538"/>
      <c r="F68" s="538"/>
      <c r="G68" s="498"/>
      <c r="H68" s="498"/>
      <c r="I68" s="496"/>
      <c r="J68" s="503"/>
      <c r="K68" s="931"/>
      <c r="L68" s="944"/>
      <c r="M68" s="931"/>
      <c r="N68" s="952">
        <f>D68/1000000</f>
        <v>1</v>
      </c>
      <c r="O68" s="886"/>
    </row>
    <row r="69" spans="1:15" s="487" customFormat="1" ht="140.25">
      <c r="A69" s="970" t="s">
        <v>653</v>
      </c>
      <c r="B69" s="983" t="s">
        <v>840</v>
      </c>
      <c r="C69" s="881" t="s">
        <v>327</v>
      </c>
      <c r="D69" s="545">
        <v>200000</v>
      </c>
      <c r="E69" s="541"/>
      <c r="F69" s="541"/>
      <c r="G69" s="496"/>
      <c r="H69" s="548"/>
      <c r="I69" s="885">
        <f>D69/1000000</f>
        <v>0.2</v>
      </c>
      <c r="J69" s="538"/>
      <c r="K69" s="930"/>
      <c r="L69" s="930"/>
      <c r="M69" s="930"/>
      <c r="N69" s="949"/>
      <c r="O69" s="886"/>
    </row>
    <row r="70" spans="1:15" s="487" customFormat="1" ht="89.25">
      <c r="A70" s="970" t="s">
        <v>50</v>
      </c>
      <c r="B70" s="983" t="s">
        <v>840</v>
      </c>
      <c r="C70" s="881" t="s">
        <v>328</v>
      </c>
      <c r="D70" s="545">
        <v>1000000</v>
      </c>
      <c r="E70" s="538"/>
      <c r="F70" s="538"/>
      <c r="G70" s="498"/>
      <c r="H70" s="498"/>
      <c r="I70" s="496"/>
      <c r="J70" s="503"/>
      <c r="K70" s="931"/>
      <c r="L70" s="944"/>
      <c r="M70" s="931"/>
      <c r="N70" s="885">
        <f>D70/1000000</f>
        <v>1</v>
      </c>
      <c r="O70" s="886"/>
    </row>
    <row r="71" spans="1:15" s="487" customFormat="1" ht="27" customHeight="1">
      <c r="A71" s="1324" t="s">
        <v>245</v>
      </c>
      <c r="B71" s="1325"/>
      <c r="C71" s="1325"/>
      <c r="D71" s="1323"/>
      <c r="E71" s="1323"/>
      <c r="F71" s="1323"/>
      <c r="G71" s="1323"/>
      <c r="H71" s="1323"/>
      <c r="I71" s="1323"/>
      <c r="J71" s="1323"/>
      <c r="K71" s="1323"/>
      <c r="L71" s="1323"/>
      <c r="M71" s="1323"/>
      <c r="N71" s="1323"/>
      <c r="O71" s="1310"/>
    </row>
    <row r="72" spans="1:15" s="547" customFormat="1" ht="63.75">
      <c r="A72" s="967" t="s">
        <v>246</v>
      </c>
      <c r="B72" s="982" t="s">
        <v>840</v>
      </c>
      <c r="C72" s="880" t="s">
        <v>247</v>
      </c>
      <c r="D72" s="488">
        <f>410000/4.3</f>
        <v>95348.83720930234</v>
      </c>
      <c r="E72" s="503"/>
      <c r="F72" s="503"/>
      <c r="G72" s="885">
        <f>D72/1000000</f>
        <v>0.09534883720930233</v>
      </c>
      <c r="H72" s="940"/>
      <c r="I72" s="940"/>
      <c r="J72" s="940"/>
      <c r="K72" s="389"/>
      <c r="L72" s="389"/>
      <c r="M72" s="389"/>
      <c r="N72" s="549"/>
      <c r="O72" s="905" t="s">
        <v>63</v>
      </c>
    </row>
    <row r="73" spans="1:15" s="547" customFormat="1" ht="51">
      <c r="A73" s="970" t="s">
        <v>789</v>
      </c>
      <c r="B73" s="983" t="s">
        <v>840</v>
      </c>
      <c r="C73" s="883" t="s">
        <v>248</v>
      </c>
      <c r="D73" s="488">
        <f>3224000/4.3</f>
        <v>749767.4418604651</v>
      </c>
      <c r="E73" s="498"/>
      <c r="F73" s="496"/>
      <c r="G73" s="945"/>
      <c r="H73" s="938"/>
      <c r="I73" s="938"/>
      <c r="J73" s="885">
        <f>D73/1000000</f>
        <v>0.7497674418604651</v>
      </c>
      <c r="K73" s="389"/>
      <c r="L73" s="389"/>
      <c r="M73" s="389"/>
      <c r="N73" s="549"/>
      <c r="O73" s="905" t="s">
        <v>64</v>
      </c>
    </row>
    <row r="74" spans="1:15" s="487" customFormat="1" ht="153">
      <c r="A74" s="966" t="s">
        <v>249</v>
      </c>
      <c r="B74" s="983" t="s">
        <v>840</v>
      </c>
      <c r="C74" s="883" t="s">
        <v>901</v>
      </c>
      <c r="D74" s="545">
        <f>4325400/4.3</f>
        <v>1005906.9767441861</v>
      </c>
      <c r="E74" s="498"/>
      <c r="F74" s="498"/>
      <c r="G74" s="496"/>
      <c r="H74" s="503"/>
      <c r="I74" s="503"/>
      <c r="J74" s="938"/>
      <c r="K74" s="945"/>
      <c r="L74" s="938"/>
      <c r="M74" s="938"/>
      <c r="N74" s="885">
        <f>D74/1000000</f>
        <v>1.0059069767441862</v>
      </c>
      <c r="O74" s="905" t="s">
        <v>61</v>
      </c>
    </row>
    <row r="75" spans="1:15" s="487" customFormat="1" ht="76.5">
      <c r="A75" s="970" t="s">
        <v>51</v>
      </c>
      <c r="B75" s="983" t="s">
        <v>840</v>
      </c>
      <c r="C75" s="883" t="s">
        <v>920</v>
      </c>
      <c r="D75" s="545">
        <f>6472800/4.3</f>
        <v>1505302.3255813953</v>
      </c>
      <c r="E75" s="498"/>
      <c r="F75" s="496"/>
      <c r="G75" s="503"/>
      <c r="H75" s="503"/>
      <c r="I75" s="503"/>
      <c r="J75" s="938"/>
      <c r="K75" s="885">
        <f>D75/1000000</f>
        <v>1.5053023255813953</v>
      </c>
      <c r="L75" s="937"/>
      <c r="M75" s="937"/>
      <c r="N75" s="951"/>
      <c r="O75" s="905" t="s">
        <v>902</v>
      </c>
    </row>
    <row r="76" spans="1:15" s="487" customFormat="1" ht="76.5">
      <c r="A76" s="970" t="s">
        <v>418</v>
      </c>
      <c r="B76" s="983" t="s">
        <v>840</v>
      </c>
      <c r="C76" s="883" t="s">
        <v>920</v>
      </c>
      <c r="D76" s="545">
        <v>1000000</v>
      </c>
      <c r="E76" s="538"/>
      <c r="F76" s="538"/>
      <c r="G76" s="538"/>
      <c r="H76" s="538"/>
      <c r="I76" s="538"/>
      <c r="J76" s="939"/>
      <c r="K76" s="938"/>
      <c r="L76" s="938"/>
      <c r="M76" s="938"/>
      <c r="N76" s="885">
        <f>D76/1000000</f>
        <v>1</v>
      </c>
      <c r="O76" s="906"/>
    </row>
    <row r="77" spans="1:15" s="487" customFormat="1" ht="30.75" customHeight="1">
      <c r="A77" s="1324" t="s">
        <v>250</v>
      </c>
      <c r="B77" s="1325"/>
      <c r="C77" s="1325"/>
      <c r="D77" s="1325"/>
      <c r="E77" s="1325"/>
      <c r="F77" s="1325"/>
      <c r="G77" s="1325"/>
      <c r="H77" s="1325"/>
      <c r="I77" s="1325"/>
      <c r="J77" s="1325"/>
      <c r="K77" s="1325"/>
      <c r="L77" s="1325"/>
      <c r="M77" s="1325"/>
      <c r="N77" s="1325"/>
      <c r="O77" s="1310"/>
    </row>
    <row r="78" spans="1:15" s="489" customFormat="1" ht="153">
      <c r="A78" s="971" t="s">
        <v>419</v>
      </c>
      <c r="B78" s="986" t="s">
        <v>840</v>
      </c>
      <c r="C78" s="880" t="s">
        <v>771</v>
      </c>
      <c r="D78" s="907">
        <v>1843100</v>
      </c>
      <c r="E78" s="519">
        <f>D78/1000000</f>
        <v>1.8431</v>
      </c>
      <c r="F78" s="521"/>
      <c r="G78" s="521"/>
      <c r="H78" s="521"/>
      <c r="I78" s="521"/>
      <c r="J78" s="521"/>
      <c r="K78" s="521"/>
      <c r="L78" s="521"/>
      <c r="M78" s="521"/>
      <c r="N78" s="520"/>
      <c r="O78" s="909" t="s">
        <v>483</v>
      </c>
    </row>
    <row r="79" spans="1:15" s="487" customFormat="1" ht="204">
      <c r="A79" s="970" t="s">
        <v>420</v>
      </c>
      <c r="B79" s="987" t="s">
        <v>840</v>
      </c>
      <c r="C79" s="881" t="s">
        <v>903</v>
      </c>
      <c r="D79" s="908">
        <f>8686200/4.3</f>
        <v>2020046.5116279072</v>
      </c>
      <c r="E79" s="498"/>
      <c r="F79" s="498"/>
      <c r="G79" s="496"/>
      <c r="H79" s="503"/>
      <c r="I79" s="503"/>
      <c r="J79" s="503"/>
      <c r="K79" s="503"/>
      <c r="L79" s="503"/>
      <c r="M79" s="503"/>
      <c r="N79" s="885">
        <f>D79/1000000</f>
        <v>2.0200465116279074</v>
      </c>
      <c r="O79" s="905" t="s">
        <v>904</v>
      </c>
    </row>
    <row r="80" spans="1:15" s="487" customFormat="1" ht="76.5">
      <c r="A80" s="970" t="s">
        <v>421</v>
      </c>
      <c r="B80" s="987" t="s">
        <v>840</v>
      </c>
      <c r="C80" s="881" t="s">
        <v>772</v>
      </c>
      <c r="D80" s="908">
        <v>1000000</v>
      </c>
      <c r="E80" s="541"/>
      <c r="F80" s="498"/>
      <c r="G80" s="496"/>
      <c r="H80" s="503"/>
      <c r="I80" s="503"/>
      <c r="J80" s="931"/>
      <c r="K80" s="944"/>
      <c r="L80" s="931"/>
      <c r="M80" s="885">
        <f>D80/1000000</f>
        <v>1</v>
      </c>
      <c r="N80" s="550"/>
      <c r="O80" s="906"/>
    </row>
    <row r="81" spans="1:15" s="487" customFormat="1" ht="51">
      <c r="A81" s="970" t="s">
        <v>422</v>
      </c>
      <c r="B81" s="987" t="s">
        <v>840</v>
      </c>
      <c r="C81" s="881" t="s">
        <v>921</v>
      </c>
      <c r="D81" s="908">
        <v>800000</v>
      </c>
      <c r="E81" s="538"/>
      <c r="F81" s="496"/>
      <c r="G81" s="503"/>
      <c r="H81" s="503"/>
      <c r="I81" s="503"/>
      <c r="J81" s="931"/>
      <c r="K81" s="885">
        <f>D81/1000000</f>
        <v>0.8</v>
      </c>
      <c r="L81" s="943"/>
      <c r="M81" s="930"/>
      <c r="N81" s="550"/>
      <c r="O81" s="906"/>
    </row>
    <row r="82" spans="1:15" s="487" customFormat="1" ht="26.25" customHeight="1">
      <c r="A82" s="1330" t="s">
        <v>251</v>
      </c>
      <c r="B82" s="1330"/>
      <c r="C82" s="1330"/>
      <c r="D82" s="1330"/>
      <c r="E82" s="1330"/>
      <c r="F82" s="1330"/>
      <c r="G82" s="1330"/>
      <c r="H82" s="1330"/>
      <c r="I82" s="1330"/>
      <c r="J82" s="1330"/>
      <c r="K82" s="1330"/>
      <c r="L82" s="1330"/>
      <c r="M82" s="1330"/>
      <c r="N82" s="1330"/>
      <c r="O82" s="1305"/>
    </row>
    <row r="83" spans="1:15" s="487" customFormat="1" ht="38.25">
      <c r="A83" s="971" t="s">
        <v>252</v>
      </c>
      <c r="B83" s="982" t="s">
        <v>840</v>
      </c>
      <c r="C83" s="880" t="s">
        <v>253</v>
      </c>
      <c r="D83" s="488">
        <f>5055693/4.3</f>
        <v>1175742.558139535</v>
      </c>
      <c r="E83" s="551"/>
      <c r="F83" s="503"/>
      <c r="G83" s="503"/>
      <c r="H83" s="503"/>
      <c r="I83" s="885">
        <f>D83/1000000</f>
        <v>1.1757425581395349</v>
      </c>
      <c r="J83" s="930"/>
      <c r="K83" s="930"/>
      <c r="L83" s="930"/>
      <c r="M83" s="930"/>
      <c r="N83" s="949"/>
      <c r="O83" s="905" t="s">
        <v>905</v>
      </c>
    </row>
    <row r="84" spans="1:15" s="487" customFormat="1" ht="25.5">
      <c r="A84" s="970" t="s">
        <v>254</v>
      </c>
      <c r="B84" s="984" t="s">
        <v>840</v>
      </c>
      <c r="C84" s="881" t="s">
        <v>253</v>
      </c>
      <c r="D84" s="545">
        <v>500000</v>
      </c>
      <c r="E84" s="499"/>
      <c r="F84" s="498"/>
      <c r="G84" s="498"/>
      <c r="H84" s="496"/>
      <c r="I84" s="950"/>
      <c r="J84" s="950"/>
      <c r="K84" s="885">
        <f>D84/1000000</f>
        <v>0.5</v>
      </c>
      <c r="L84" s="930"/>
      <c r="M84" s="930"/>
      <c r="N84" s="949"/>
      <c r="O84" s="906"/>
    </row>
    <row r="85" spans="1:15" s="487" customFormat="1" ht="38.25">
      <c r="A85" s="970" t="s">
        <v>906</v>
      </c>
      <c r="B85" s="984" t="s">
        <v>840</v>
      </c>
      <c r="C85" s="881" t="s">
        <v>907</v>
      </c>
      <c r="D85" s="488">
        <f>5842825.53/4.3</f>
        <v>1358796.6348837211</v>
      </c>
      <c r="E85" s="498"/>
      <c r="F85" s="496"/>
      <c r="G85" s="503"/>
      <c r="H85" s="503"/>
      <c r="I85" s="938"/>
      <c r="J85" s="938"/>
      <c r="K85" s="938"/>
      <c r="L85" s="938"/>
      <c r="M85" s="938"/>
      <c r="N85" s="885">
        <f>D85/1000000</f>
        <v>1.358796634883721</v>
      </c>
      <c r="O85" s="905" t="s">
        <v>902</v>
      </c>
    </row>
    <row r="86" spans="1:15" s="489" customFormat="1" ht="76.5">
      <c r="A86" s="971" t="s">
        <v>924</v>
      </c>
      <c r="B86" s="982" t="s">
        <v>840</v>
      </c>
      <c r="C86" s="880" t="s">
        <v>923</v>
      </c>
      <c r="D86" s="488">
        <f>690084/4.3</f>
        <v>160484.65116279072</v>
      </c>
      <c r="E86" s="552"/>
      <c r="F86" s="552"/>
      <c r="G86" s="552"/>
      <c r="H86" s="552"/>
      <c r="I86" s="942"/>
      <c r="J86" s="942"/>
      <c r="K86" s="946">
        <f>D86/1000000</f>
        <v>0.1604846511627907</v>
      </c>
      <c r="L86" s="947"/>
      <c r="M86" s="947"/>
      <c r="N86" s="948"/>
      <c r="O86" s="905" t="s">
        <v>908</v>
      </c>
    </row>
    <row r="87" spans="1:15" s="487" customFormat="1" ht="76.5">
      <c r="A87" s="970" t="s">
        <v>909</v>
      </c>
      <c r="B87" s="984" t="s">
        <v>840</v>
      </c>
      <c r="C87" s="881" t="s">
        <v>923</v>
      </c>
      <c r="D87" s="545">
        <v>100000</v>
      </c>
      <c r="E87" s="538"/>
      <c r="F87" s="498"/>
      <c r="G87" s="498"/>
      <c r="H87" s="498"/>
      <c r="I87" s="939"/>
      <c r="J87" s="938"/>
      <c r="K87" s="938"/>
      <c r="L87" s="938"/>
      <c r="M87" s="938"/>
      <c r="N87" s="885">
        <f>D87/1000000</f>
        <v>0.1</v>
      </c>
      <c r="O87" s="906"/>
    </row>
    <row r="88" spans="1:15" s="487" customFormat="1" ht="76.5">
      <c r="A88" s="970" t="s">
        <v>423</v>
      </c>
      <c r="B88" s="984" t="s">
        <v>840</v>
      </c>
      <c r="C88" s="881" t="s">
        <v>429</v>
      </c>
      <c r="D88" s="545">
        <v>500000</v>
      </c>
      <c r="E88" s="499"/>
      <c r="F88" s="538"/>
      <c r="G88" s="538"/>
      <c r="H88" s="496"/>
      <c r="I88" s="503"/>
      <c r="J88" s="934">
        <f>D88/1000000</f>
        <v>0.5</v>
      </c>
      <c r="K88" s="940"/>
      <c r="L88" s="940"/>
      <c r="M88" s="940"/>
      <c r="N88" s="935"/>
      <c r="O88" s="906"/>
    </row>
    <row r="89" spans="1:15" s="487" customFormat="1" ht="51">
      <c r="A89" s="970" t="s">
        <v>424</v>
      </c>
      <c r="B89" s="984" t="s">
        <v>840</v>
      </c>
      <c r="C89" s="881" t="s">
        <v>922</v>
      </c>
      <c r="D89" s="545">
        <v>300000</v>
      </c>
      <c r="E89" s="498"/>
      <c r="F89" s="498"/>
      <c r="G89" s="498"/>
      <c r="H89" s="496"/>
      <c r="I89" s="503"/>
      <c r="J89" s="938"/>
      <c r="K89" s="938"/>
      <c r="L89" s="945"/>
      <c r="M89" s="938"/>
      <c r="N89" s="885">
        <f>D89/1000000</f>
        <v>0.3</v>
      </c>
      <c r="O89" s="906"/>
    </row>
    <row r="90" spans="1:15" s="489" customFormat="1" ht="76.5">
      <c r="A90" s="973" t="s">
        <v>337</v>
      </c>
      <c r="B90" s="389" t="s">
        <v>910</v>
      </c>
      <c r="C90" s="880" t="s">
        <v>911</v>
      </c>
      <c r="D90" s="553">
        <f>200481/4.3</f>
        <v>46623.48837209302</v>
      </c>
      <c r="E90" s="1315" t="s">
        <v>457</v>
      </c>
      <c r="F90" s="1316"/>
      <c r="G90" s="1316"/>
      <c r="H90" s="1316"/>
      <c r="I90" s="1316"/>
      <c r="J90" s="1316"/>
      <c r="K90" s="1316"/>
      <c r="L90" s="1316"/>
      <c r="M90" s="1316"/>
      <c r="N90" s="1317"/>
      <c r="O90" s="909" t="s">
        <v>912</v>
      </c>
    </row>
    <row r="91" spans="1:15" s="487" customFormat="1" ht="102">
      <c r="A91" s="971" t="s">
        <v>255</v>
      </c>
      <c r="B91" s="982" t="s">
        <v>256</v>
      </c>
      <c r="C91" s="880" t="s">
        <v>913</v>
      </c>
      <c r="D91" s="488">
        <f>(100403+94800+391632+89309+72580+110483+109677+62000)/4.3</f>
        <v>239740.46511627908</v>
      </c>
      <c r="E91" s="551"/>
      <c r="F91" s="552"/>
      <c r="G91" s="885">
        <f>D91/1000000</f>
        <v>0.23974046511627908</v>
      </c>
      <c r="H91" s="933"/>
      <c r="I91" s="933"/>
      <c r="J91" s="933"/>
      <c r="K91" s="498"/>
      <c r="L91" s="498"/>
      <c r="M91" s="498"/>
      <c r="N91" s="499"/>
      <c r="O91" s="905" t="s">
        <v>914</v>
      </c>
    </row>
    <row r="92" spans="1:15" s="487" customFormat="1" ht="153">
      <c r="A92" s="970" t="s">
        <v>257</v>
      </c>
      <c r="B92" s="984" t="s">
        <v>256</v>
      </c>
      <c r="C92" s="881" t="s">
        <v>258</v>
      </c>
      <c r="D92" s="545">
        <f>2000000/4.3</f>
        <v>465116.27906976745</v>
      </c>
      <c r="E92" s="498"/>
      <c r="F92" s="498"/>
      <c r="G92" s="941"/>
      <c r="H92" s="942"/>
      <c r="I92" s="942"/>
      <c r="J92" s="885">
        <f>D92/1000000</f>
        <v>0.46511627906976744</v>
      </c>
      <c r="K92" s="498"/>
      <c r="L92" s="498"/>
      <c r="M92" s="498"/>
      <c r="N92" s="499"/>
      <c r="O92" s="906"/>
    </row>
    <row r="93" spans="1:15" s="487" customFormat="1" ht="27" customHeight="1">
      <c r="A93" s="1326" t="s">
        <v>259</v>
      </c>
      <c r="B93" s="1327"/>
      <c r="C93" s="1327"/>
      <c r="D93" s="1327"/>
      <c r="E93" s="1327"/>
      <c r="F93" s="1327"/>
      <c r="G93" s="1327"/>
      <c r="H93" s="1327"/>
      <c r="I93" s="1327"/>
      <c r="J93" s="1327"/>
      <c r="K93" s="1327"/>
      <c r="L93" s="1327"/>
      <c r="M93" s="1327"/>
      <c r="N93" s="1327"/>
      <c r="O93" s="1310"/>
    </row>
    <row r="94" spans="1:15" s="487" customFormat="1" ht="26.25" customHeight="1">
      <c r="A94" s="1318" t="s">
        <v>449</v>
      </c>
      <c r="B94" s="1319"/>
      <c r="C94" s="1319"/>
      <c r="D94" s="1319"/>
      <c r="E94" s="1319"/>
      <c r="F94" s="1319"/>
      <c r="G94" s="1319"/>
      <c r="H94" s="1319"/>
      <c r="I94" s="1319"/>
      <c r="J94" s="1319"/>
      <c r="K94" s="1319"/>
      <c r="L94" s="1319"/>
      <c r="M94" s="1319"/>
      <c r="N94" s="1319"/>
      <c r="O94" s="1320"/>
    </row>
    <row r="95" spans="1:15" s="487" customFormat="1" ht="99.75" customHeight="1">
      <c r="A95" s="928" t="s">
        <v>752</v>
      </c>
      <c r="B95" s="982" t="s">
        <v>838</v>
      </c>
      <c r="C95" s="874" t="s">
        <v>925</v>
      </c>
      <c r="D95" s="488">
        <f>437000</f>
        <v>437000</v>
      </c>
      <c r="E95" s="552"/>
      <c r="F95" s="885">
        <f>D95/1000000</f>
        <v>0.437</v>
      </c>
      <c r="G95" s="930"/>
      <c r="H95" s="930"/>
      <c r="I95" s="930"/>
      <c r="J95" s="538"/>
      <c r="K95" s="538"/>
      <c r="L95" s="538"/>
      <c r="M95" s="538"/>
      <c r="N95" s="550"/>
      <c r="O95" s="905" t="s">
        <v>915</v>
      </c>
    </row>
    <row r="96" spans="1:15" s="487" customFormat="1" ht="220.5" customHeight="1">
      <c r="A96" s="929" t="s">
        <v>926</v>
      </c>
      <c r="B96" s="982" t="s">
        <v>838</v>
      </c>
      <c r="C96" s="883" t="s">
        <v>125</v>
      </c>
      <c r="D96" s="488">
        <f>(7350000+900000+2175000)/4.3</f>
        <v>2424418.604651163</v>
      </c>
      <c r="E96" s="496"/>
      <c r="F96" s="931"/>
      <c r="G96" s="931"/>
      <c r="H96" s="931"/>
      <c r="I96" s="885">
        <f>D96/1000000</f>
        <v>2.4244186046511627</v>
      </c>
      <c r="J96" s="538"/>
      <c r="K96" s="538"/>
      <c r="L96" s="538"/>
      <c r="M96" s="538"/>
      <c r="N96" s="550"/>
      <c r="O96" s="905" t="s">
        <v>126</v>
      </c>
    </row>
    <row r="97" spans="1:15" s="487" customFormat="1" ht="75" customHeight="1">
      <c r="A97" s="929" t="s">
        <v>127</v>
      </c>
      <c r="B97" s="982" t="s">
        <v>838</v>
      </c>
      <c r="C97" s="883"/>
      <c r="D97" s="488">
        <f>539400/4.3</f>
        <v>125441.86046511629</v>
      </c>
      <c r="E97" s="498"/>
      <c r="F97" s="498"/>
      <c r="G97" s="932"/>
      <c r="H97" s="885">
        <f>D97/1000000</f>
        <v>0.1254418604651163</v>
      </c>
      <c r="I97" s="499"/>
      <c r="J97" s="498"/>
      <c r="K97" s="538"/>
      <c r="L97" s="538"/>
      <c r="M97" s="538"/>
      <c r="N97" s="550"/>
      <c r="O97" s="905" t="s">
        <v>128</v>
      </c>
    </row>
    <row r="98" spans="1:15" s="487" customFormat="1" ht="29.25" customHeight="1">
      <c r="A98" s="929" t="s">
        <v>129</v>
      </c>
      <c r="B98" s="982" t="s">
        <v>838</v>
      </c>
      <c r="C98" s="883"/>
      <c r="D98" s="488">
        <f>539400/4.3</f>
        <v>125441.86046511629</v>
      </c>
      <c r="E98" s="498"/>
      <c r="F98" s="498"/>
      <c r="G98" s="885">
        <f>D98/1000000</f>
        <v>0.1254418604651163</v>
      </c>
      <c r="H98" s="933"/>
      <c r="I98" s="499"/>
      <c r="J98" s="538"/>
      <c r="K98" s="538"/>
      <c r="L98" s="538"/>
      <c r="M98" s="538"/>
      <c r="N98" s="550"/>
      <c r="O98" s="905" t="s">
        <v>130</v>
      </c>
    </row>
    <row r="99" spans="1:15" s="487" customFormat="1" ht="51">
      <c r="A99" s="929" t="s">
        <v>436</v>
      </c>
      <c r="B99" s="982" t="s">
        <v>838</v>
      </c>
      <c r="C99" s="883" t="s">
        <v>927</v>
      </c>
      <c r="D99" s="545"/>
      <c r="E99" s="498"/>
      <c r="F99" s="498"/>
      <c r="G99" s="498"/>
      <c r="H99" s="499"/>
      <c r="I99" s="498"/>
      <c r="J99" s="538"/>
      <c r="K99" s="538"/>
      <c r="L99" s="538"/>
      <c r="M99" s="538"/>
      <c r="N99" s="550"/>
      <c r="O99" s="905" t="s">
        <v>132</v>
      </c>
    </row>
    <row r="100" spans="1:15" s="487" customFormat="1" ht="38.25">
      <c r="A100" s="929" t="s">
        <v>753</v>
      </c>
      <c r="B100" s="982" t="s">
        <v>838</v>
      </c>
      <c r="C100" s="883" t="s">
        <v>430</v>
      </c>
      <c r="D100" s="488">
        <f>172000/4.3</f>
        <v>40000</v>
      </c>
      <c r="E100" s="498"/>
      <c r="F100" s="498"/>
      <c r="G100" s="496"/>
      <c r="H100" s="503"/>
      <c r="I100" s="885">
        <f>D100/1000000</f>
        <v>0.04</v>
      </c>
      <c r="J100" s="886"/>
      <c r="K100" s="538"/>
      <c r="L100" s="538"/>
      <c r="M100" s="538"/>
      <c r="N100" s="550"/>
      <c r="O100" s="905" t="s">
        <v>902</v>
      </c>
    </row>
    <row r="101" spans="1:15" s="487" customFormat="1" ht="27.75" customHeight="1">
      <c r="A101" s="928" t="s">
        <v>338</v>
      </c>
      <c r="B101" s="982" t="s">
        <v>838</v>
      </c>
      <c r="C101" s="921"/>
      <c r="D101" s="488">
        <f>210000/4.3</f>
        <v>48837.20930232558</v>
      </c>
      <c r="E101" s="498"/>
      <c r="F101" s="498"/>
      <c r="G101" s="498"/>
      <c r="H101" s="934">
        <f>D101/1000000</f>
        <v>0.04883720930232558</v>
      </c>
      <c r="I101" s="935"/>
      <c r="J101" s="936"/>
      <c r="K101" s="937"/>
      <c r="L101" s="937"/>
      <c r="M101" s="937"/>
      <c r="N101" s="550"/>
      <c r="O101" s="919" t="s">
        <v>130</v>
      </c>
    </row>
    <row r="102" spans="1:15" s="487" customFormat="1" ht="27.75" customHeight="1">
      <c r="A102" s="928" t="s">
        <v>339</v>
      </c>
      <c r="B102" s="982" t="s">
        <v>838</v>
      </c>
      <c r="C102" s="921"/>
      <c r="D102" s="488">
        <f>61500/4.3</f>
        <v>14302.32558139535</v>
      </c>
      <c r="E102" s="498"/>
      <c r="F102" s="498"/>
      <c r="G102" s="498"/>
      <c r="H102" s="934">
        <f>D102/1000000</f>
        <v>0.01430232558139535</v>
      </c>
      <c r="I102" s="935"/>
      <c r="J102" s="936"/>
      <c r="K102" s="937"/>
      <c r="L102" s="937"/>
      <c r="M102" s="937"/>
      <c r="N102" s="550"/>
      <c r="O102" s="919" t="s">
        <v>128</v>
      </c>
    </row>
    <row r="103" spans="1:15" s="487" customFormat="1" ht="27.75" customHeight="1">
      <c r="A103" s="928" t="s">
        <v>340</v>
      </c>
      <c r="B103" s="982" t="s">
        <v>838</v>
      </c>
      <c r="C103" s="921"/>
      <c r="D103" s="488">
        <f>174000/4.3</f>
        <v>40465.11627906977</v>
      </c>
      <c r="E103" s="498"/>
      <c r="F103" s="498"/>
      <c r="G103" s="498"/>
      <c r="H103" s="934">
        <f>D103/1000000</f>
        <v>0.04046511627906977</v>
      </c>
      <c r="I103" s="935"/>
      <c r="J103" s="936"/>
      <c r="K103" s="937"/>
      <c r="L103" s="937"/>
      <c r="M103" s="937"/>
      <c r="N103" s="550"/>
      <c r="O103" s="919" t="s">
        <v>341</v>
      </c>
    </row>
    <row r="104" spans="1:15" s="487" customFormat="1" ht="114" customHeight="1">
      <c r="A104" s="929" t="s">
        <v>131</v>
      </c>
      <c r="B104" s="982" t="s">
        <v>838</v>
      </c>
      <c r="C104" s="918"/>
      <c r="D104" s="545">
        <f>1305000/4.3</f>
        <v>303488.37209302327</v>
      </c>
      <c r="E104" s="498"/>
      <c r="F104" s="498"/>
      <c r="G104" s="496"/>
      <c r="H104" s="938"/>
      <c r="I104" s="885">
        <f>D104/1000000</f>
        <v>0.30348837209302326</v>
      </c>
      <c r="J104" s="937"/>
      <c r="K104" s="937"/>
      <c r="L104" s="937"/>
      <c r="M104" s="937"/>
      <c r="N104" s="550"/>
      <c r="O104" s="920" t="s">
        <v>130</v>
      </c>
    </row>
    <row r="105" spans="1:15" s="487" customFormat="1" ht="29.25" customHeight="1">
      <c r="A105" s="929" t="s">
        <v>928</v>
      </c>
      <c r="B105" s="982" t="s">
        <v>838</v>
      </c>
      <c r="C105" s="881" t="s">
        <v>929</v>
      </c>
      <c r="D105" s="545">
        <v>3500000</v>
      </c>
      <c r="E105" s="538"/>
      <c r="F105" s="538"/>
      <c r="G105" s="538"/>
      <c r="H105" s="937"/>
      <c r="I105" s="939"/>
      <c r="J105" s="938"/>
      <c r="K105" s="938"/>
      <c r="L105" s="885">
        <f>D105/1000000</f>
        <v>3.5</v>
      </c>
      <c r="M105" s="937"/>
      <c r="N105" s="550"/>
      <c r="O105" s="906"/>
    </row>
    <row r="106" spans="1:15" s="487" customFormat="1" ht="38.25">
      <c r="A106" s="929" t="s">
        <v>754</v>
      </c>
      <c r="B106" s="982" t="s">
        <v>838</v>
      </c>
      <c r="C106" s="883" t="s">
        <v>431</v>
      </c>
      <c r="D106" s="545">
        <v>45000</v>
      </c>
      <c r="E106" s="538"/>
      <c r="F106" s="538"/>
      <c r="G106" s="538"/>
      <c r="H106" s="937"/>
      <c r="I106" s="940"/>
      <c r="J106" s="939"/>
      <c r="K106" s="938"/>
      <c r="L106" s="885">
        <f>D106/1000000</f>
        <v>0.045</v>
      </c>
      <c r="M106" s="940"/>
      <c r="N106" s="550"/>
      <c r="O106" s="906"/>
    </row>
    <row r="107" spans="1:15" s="487" customFormat="1" ht="76.5">
      <c r="A107" s="929" t="s">
        <v>756</v>
      </c>
      <c r="B107" s="982" t="s">
        <v>838</v>
      </c>
      <c r="C107" s="883" t="s">
        <v>135</v>
      </c>
      <c r="D107" s="545">
        <v>10000000</v>
      </c>
      <c r="E107" s="538"/>
      <c r="F107" s="496"/>
      <c r="G107" s="503"/>
      <c r="H107" s="503"/>
      <c r="I107" s="503"/>
      <c r="J107" s="503"/>
      <c r="K107" s="503"/>
      <c r="L107" s="503"/>
      <c r="M107" s="922">
        <f>D107/1000000</f>
        <v>10</v>
      </c>
      <c r="N107" s="550"/>
      <c r="O107" s="910" t="s">
        <v>133</v>
      </c>
    </row>
    <row r="108" spans="1:15" s="487" customFormat="1" ht="27.75" customHeight="1">
      <c r="A108" s="1335" t="s">
        <v>450</v>
      </c>
      <c r="B108" s="1336"/>
      <c r="C108" s="1336"/>
      <c r="D108" s="1319"/>
      <c r="E108" s="1319"/>
      <c r="F108" s="1319"/>
      <c r="G108" s="1319"/>
      <c r="H108" s="1319"/>
      <c r="I108" s="1319"/>
      <c r="J108" s="1319"/>
      <c r="K108" s="1319"/>
      <c r="L108" s="1319"/>
      <c r="M108" s="1319"/>
      <c r="N108" s="1319"/>
      <c r="O108" s="1320"/>
    </row>
    <row r="109" spans="1:15" s="487" customFormat="1" ht="51">
      <c r="A109" s="928" t="s">
        <v>136</v>
      </c>
      <c r="B109" s="982" t="s">
        <v>838</v>
      </c>
      <c r="C109" s="874" t="s">
        <v>651</v>
      </c>
      <c r="D109" s="488">
        <f>10522020/4.3</f>
        <v>2446981.395348837</v>
      </c>
      <c r="E109" s="498"/>
      <c r="F109" s="496"/>
      <c r="G109" s="503"/>
      <c r="H109" s="503"/>
      <c r="I109" s="503"/>
      <c r="J109" s="503"/>
      <c r="K109" s="885">
        <f>D109/1000000</f>
        <v>2.4469813953488373</v>
      </c>
      <c r="L109" s="538"/>
      <c r="M109" s="538"/>
      <c r="N109" s="550"/>
      <c r="O109" s="905" t="s">
        <v>134</v>
      </c>
    </row>
    <row r="110" spans="1:15" s="487" customFormat="1" ht="51">
      <c r="A110" s="929" t="s">
        <v>755</v>
      </c>
      <c r="B110" s="982" t="s">
        <v>838</v>
      </c>
      <c r="C110" s="883" t="s">
        <v>652</v>
      </c>
      <c r="D110" s="545">
        <v>2000000</v>
      </c>
      <c r="E110" s="538"/>
      <c r="F110" s="538"/>
      <c r="G110" s="538"/>
      <c r="H110" s="498"/>
      <c r="I110" s="498"/>
      <c r="J110" s="498"/>
      <c r="K110" s="496"/>
      <c r="L110" s="503"/>
      <c r="M110" s="503"/>
      <c r="N110" s="885">
        <f>D110/1000000</f>
        <v>2</v>
      </c>
      <c r="O110" s="906"/>
    </row>
    <row r="111" spans="1:14" s="487" customFormat="1" ht="20.25" customHeight="1">
      <c r="A111" s="1332" t="s">
        <v>174</v>
      </c>
      <c r="B111" s="1333"/>
      <c r="C111" s="1334"/>
      <c r="D111" s="554">
        <f>SUM(D8:D110)</f>
        <v>167289407.04762796</v>
      </c>
      <c r="E111" s="498"/>
      <c r="F111" s="498"/>
      <c r="G111" s="498"/>
      <c r="H111" s="498"/>
      <c r="I111" s="498"/>
      <c r="J111" s="498"/>
      <c r="K111" s="498"/>
      <c r="L111" s="498"/>
      <c r="M111" s="498"/>
      <c r="N111" s="499"/>
    </row>
    <row r="112" spans="1:15" s="555" customFormat="1" ht="35.25" customHeight="1">
      <c r="A112" s="1332"/>
      <c r="B112" s="1333"/>
      <c r="C112" s="1334"/>
      <c r="D112" s="554"/>
      <c r="E112" s="988" t="s">
        <v>451</v>
      </c>
      <c r="F112" s="988" t="s">
        <v>452</v>
      </c>
      <c r="G112" s="988" t="s">
        <v>970</v>
      </c>
      <c r="H112" s="988" t="s">
        <v>453</v>
      </c>
      <c r="I112" s="988" t="s">
        <v>454</v>
      </c>
      <c r="J112" s="988" t="s">
        <v>969</v>
      </c>
      <c r="K112" s="988" t="s">
        <v>971</v>
      </c>
      <c r="L112" s="988" t="s">
        <v>455</v>
      </c>
      <c r="M112" s="988" t="s">
        <v>456</v>
      </c>
      <c r="N112" s="989" t="s">
        <v>972</v>
      </c>
      <c r="O112" s="925" t="s">
        <v>343</v>
      </c>
    </row>
    <row r="113" spans="1:15" s="555" customFormat="1" ht="19.5" customHeight="1">
      <c r="A113" s="1332"/>
      <c r="B113" s="1333"/>
      <c r="C113" s="1334"/>
      <c r="D113" s="554" t="s">
        <v>458</v>
      </c>
      <c r="E113" s="990">
        <f>SUM(E8:E110)</f>
        <v>2.437737906976744</v>
      </c>
      <c r="F113" s="990">
        <f aca="true" t="shared" si="0" ref="F113:N113">SUM(F8:F110)</f>
        <v>1.5270000000000001</v>
      </c>
      <c r="G113" s="990">
        <f t="shared" si="0"/>
        <v>26.01585395348837</v>
      </c>
      <c r="H113" s="990">
        <f t="shared" si="0"/>
        <v>0.5359897674418604</v>
      </c>
      <c r="I113" s="1019">
        <f t="shared" si="0"/>
        <v>15.297638840930231</v>
      </c>
      <c r="J113" s="990">
        <f t="shared" si="0"/>
        <v>15.5936375</v>
      </c>
      <c r="K113" s="990">
        <f t="shared" si="0"/>
        <v>13.293602790697676</v>
      </c>
      <c r="L113" s="990">
        <f t="shared" si="0"/>
        <v>8.546302325581395</v>
      </c>
      <c r="M113" s="1019">
        <f t="shared" si="0"/>
        <v>13.497943665116278</v>
      </c>
      <c r="N113" s="990">
        <f t="shared" si="0"/>
        <v>70.46500925553488</v>
      </c>
      <c r="O113" s="877">
        <f>SUM(E113:N113)</f>
        <v>167.21071600576744</v>
      </c>
    </row>
    <row r="114" spans="1:15" s="487" customFormat="1" ht="12.75">
      <c r="A114" s="887"/>
      <c r="B114" s="888"/>
      <c r="C114" s="887"/>
      <c r="D114" s="565"/>
      <c r="E114" s="878"/>
      <c r="F114" s="878"/>
      <c r="G114" s="878"/>
      <c r="H114" s="878"/>
      <c r="I114" s="878"/>
      <c r="J114" s="878"/>
      <c r="K114" s="878"/>
      <c r="L114" s="878"/>
      <c r="M114" s="878"/>
      <c r="N114" s="879"/>
      <c r="O114" s="891"/>
    </row>
    <row r="115" spans="2:14" s="487" customFormat="1" ht="12.75">
      <c r="B115" s="565"/>
      <c r="C115" s="926" t="s">
        <v>459</v>
      </c>
      <c r="D115" s="496"/>
      <c r="F115" s="892" t="s">
        <v>462</v>
      </c>
      <c r="G115" s="889"/>
      <c r="H115" s="889"/>
      <c r="I115" s="889"/>
      <c r="J115" s="889"/>
      <c r="K115" s="889"/>
      <c r="L115" s="889"/>
      <c r="M115" s="565"/>
      <c r="N115" s="565"/>
    </row>
    <row r="116" spans="2:15" s="487" customFormat="1" ht="12.75">
      <c r="B116" s="565"/>
      <c r="C116" s="926" t="s">
        <v>460</v>
      </c>
      <c r="D116" s="503"/>
      <c r="F116" s="1331" t="s">
        <v>463</v>
      </c>
      <c r="G116" s="1331"/>
      <c r="H116" s="1331"/>
      <c r="I116" s="1331"/>
      <c r="J116" s="1331"/>
      <c r="K116" s="1331"/>
      <c r="L116" s="1331"/>
      <c r="M116" s="565"/>
      <c r="N116" s="565"/>
      <c r="O116" s="890"/>
    </row>
    <row r="117" spans="1:15" s="487" customFormat="1" ht="12.75">
      <c r="A117" s="564"/>
      <c r="B117" s="565"/>
      <c r="C117" s="926" t="s">
        <v>461</v>
      </c>
      <c r="D117" s="500"/>
      <c r="F117" s="565"/>
      <c r="G117" s="565"/>
      <c r="H117" s="565"/>
      <c r="I117" s="565"/>
      <c r="J117" s="565"/>
      <c r="K117" s="565"/>
      <c r="L117" s="565"/>
      <c r="M117" s="565"/>
      <c r="N117" s="565"/>
      <c r="O117" s="923"/>
    </row>
    <row r="118" spans="2:14" s="487" customFormat="1" ht="52.5" customHeight="1">
      <c r="B118" s="565"/>
      <c r="C118" s="564"/>
      <c r="D118" s="565"/>
      <c r="F118" s="565"/>
      <c r="G118" s="565"/>
      <c r="H118" s="565"/>
      <c r="I118" s="565"/>
      <c r="J118" s="565"/>
      <c r="K118" s="565"/>
      <c r="L118" s="565"/>
      <c r="M118" s="565"/>
      <c r="N118" s="565"/>
    </row>
    <row r="119" spans="2:14" s="487" customFormat="1" ht="27.75" customHeight="1">
      <c r="B119" s="565"/>
      <c r="C119" s="995" t="s">
        <v>175</v>
      </c>
      <c r="D119" s="993">
        <f>D11+D21+D22+D24+D25+D44+D48+D49+SUM(D62:D66)+D74</f>
        <v>22947612.58483721</v>
      </c>
      <c r="E119" s="991"/>
      <c r="L119" s="565"/>
      <c r="M119" s="565"/>
      <c r="N119" s="565"/>
    </row>
    <row r="120" spans="3:5" ht="28.5" customHeight="1">
      <c r="C120" s="996" t="s">
        <v>176</v>
      </c>
      <c r="D120" s="2">
        <f>D8+D9+D10+SUM(D12:D20)+D23+D26+D27+D28+SUM(D35:D41)+D43+D45+D46+D47+D50+D51+D52+SUM(D54:D59)+SUM(D67:D70)+D72+D73+D75+D76+SUM(D78:D81)+SUM(D83:D92)</f>
        <v>122790417.71860467</v>
      </c>
      <c r="E120" s="991"/>
    </row>
    <row r="121" spans="3:5" ht="24" customHeight="1">
      <c r="C121" s="997" t="s">
        <v>177</v>
      </c>
      <c r="D121" s="3">
        <f>SUM(D95:D110)</f>
        <v>21551376.744186047</v>
      </c>
      <c r="E121" s="991"/>
    </row>
    <row r="122" spans="3:5" ht="21.75" customHeight="1">
      <c r="C122" s="998" t="s">
        <v>178</v>
      </c>
      <c r="D122" s="994">
        <f>SUM(D119:D121)</f>
        <v>167289407.04762793</v>
      </c>
      <c r="E122" s="992"/>
    </row>
    <row r="123" spans="4:5" ht="46.5" customHeight="1">
      <c r="D123" s="530"/>
      <c r="E123" s="530"/>
    </row>
  </sheetData>
  <mergeCells count="30">
    <mergeCell ref="A2:O2"/>
    <mergeCell ref="A42:O42"/>
    <mergeCell ref="A82:O82"/>
    <mergeCell ref="F116:L116"/>
    <mergeCell ref="A111:C111"/>
    <mergeCell ref="A112:C112"/>
    <mergeCell ref="A113:C113"/>
    <mergeCell ref="A108:O108"/>
    <mergeCell ref="A60:O60"/>
    <mergeCell ref="A77:O77"/>
    <mergeCell ref="E90:N90"/>
    <mergeCell ref="A94:O94"/>
    <mergeCell ref="A61:O61"/>
    <mergeCell ref="A71:O71"/>
    <mergeCell ref="A93:O93"/>
    <mergeCell ref="O4:O5"/>
    <mergeCell ref="E12:N12"/>
    <mergeCell ref="A53:O53"/>
    <mergeCell ref="A7:O7"/>
    <mergeCell ref="A34:O34"/>
    <mergeCell ref="A6:O6"/>
    <mergeCell ref="A4:A5"/>
    <mergeCell ref="B4:B5"/>
    <mergeCell ref="C4:C5"/>
    <mergeCell ref="D4:D5"/>
    <mergeCell ref="M4:N4"/>
    <mergeCell ref="E4:F4"/>
    <mergeCell ref="G4:H4"/>
    <mergeCell ref="I4:J4"/>
    <mergeCell ref="K4:L4"/>
  </mergeCells>
  <printOptions horizontalCentered="1"/>
  <pageMargins left="0.35433070866141736" right="0.35433070866141736" top="0.3937007874015748" bottom="0.5905511811023623" header="0.5118110236220472" footer="0.5118110236220472"/>
  <pageSetup horizontalDpi="600" verticalDpi="600" orientation="landscape" paperSize="9" scale="95" r:id="rId2"/>
  <headerFooter alignWithMargins="0">
    <oddFooter>&amp;R&amp;P</oddFooter>
  </headerFooter>
  <rowBreaks count="17" manualBreakCount="17">
    <brk id="9" max="255" man="1"/>
    <brk id="16" max="14" man="1"/>
    <brk id="18" max="255" man="1"/>
    <brk id="31" max="14" man="1"/>
    <brk id="36" max="255" man="1"/>
    <brk id="41" max="14" man="1"/>
    <brk id="44" max="14" man="1"/>
    <brk id="49" max="14" man="1"/>
    <brk id="52" max="14" man="1"/>
    <brk id="54" max="14" man="1"/>
    <brk id="56" max="255" man="1"/>
    <brk id="59" max="255" man="1"/>
    <brk id="76" max="14" man="1"/>
    <brk id="81" max="255" man="1"/>
    <brk id="92" max="255" man="1"/>
    <brk id="107" max="255" man="1"/>
    <brk id="117" max="255" man="1"/>
  </rowBreaks>
  <drawing r:id="rId1"/>
</worksheet>
</file>

<file path=xl/worksheets/sheet8.xml><?xml version="1.0" encoding="utf-8"?>
<worksheet xmlns="http://schemas.openxmlformats.org/spreadsheetml/2006/main" xmlns:r="http://schemas.openxmlformats.org/officeDocument/2006/relationships">
  <dimension ref="B3:L25"/>
  <sheetViews>
    <sheetView zoomScalePageLayoutView="0" workbookViewId="0" topLeftCell="A17">
      <selection activeCell="I17" sqref="I17"/>
    </sheetView>
  </sheetViews>
  <sheetFormatPr defaultColWidth="9.140625" defaultRowHeight="12.75"/>
  <cols>
    <col min="2" max="2" width="29.28125" style="0" customWidth="1"/>
    <col min="3" max="3" width="16.7109375" style="0" customWidth="1"/>
    <col min="4" max="4" width="16.00390625" style="0" customWidth="1"/>
    <col min="5" max="5" width="12.140625" style="0" customWidth="1"/>
    <col min="6" max="6" width="15.421875" style="0" customWidth="1"/>
    <col min="9" max="10" width="11.140625" style="0" bestFit="1" customWidth="1"/>
    <col min="11" max="11" width="10.140625" style="0" bestFit="1" customWidth="1"/>
    <col min="12" max="12" width="11.140625" style="0" bestFit="1" customWidth="1"/>
  </cols>
  <sheetData>
    <row r="2" ht="13.5" thickBot="1"/>
    <row r="3" spans="2:4" ht="25.5">
      <c r="B3" s="214" t="s">
        <v>175</v>
      </c>
      <c r="C3" s="215">
        <f>'POS Mediu'!B65+'POS CCE'!C97+'POS DRU'!C116+POR!D85+PODCA!B34+POST!B72+POAT!D119</f>
        <v>140503343.60258117</v>
      </c>
      <c r="D3" s="216">
        <f>C3/$C$6</f>
        <v>0.3704012128138892</v>
      </c>
    </row>
    <row r="4" spans="2:4" ht="25.5">
      <c r="B4" s="217" t="s">
        <v>176</v>
      </c>
      <c r="C4" s="2">
        <f>'POS Mediu'!B66+'POS CCE'!C98+'POS DRU'!C117+POR!D86+PODCA!B35+POST!B73+POAT!D120</f>
        <v>203034968.47757524</v>
      </c>
      <c r="D4" s="218">
        <f>C4/$C$6</f>
        <v>0.535249885443595</v>
      </c>
    </row>
    <row r="5" spans="2:4" ht="25.5" customHeight="1">
      <c r="B5" s="219" t="s">
        <v>177</v>
      </c>
      <c r="C5" s="3">
        <f>'POS Mediu'!B67+'POS CCE'!C99+'POS DRU'!C118+POR!D87+PODCA!B36+POST!B74+POAT!D121</f>
        <v>35789127.30697674</v>
      </c>
      <c r="D5" s="220">
        <f>C5/$C$6</f>
        <v>0.0943489017425158</v>
      </c>
    </row>
    <row r="6" spans="2:4" ht="29.25" customHeight="1" thickBot="1">
      <c r="B6" s="221" t="s">
        <v>178</v>
      </c>
      <c r="C6" s="222">
        <f>SUM(C3:C5)</f>
        <v>379327439.3871332</v>
      </c>
      <c r="D6" s="224">
        <f>C6/$C$6</f>
        <v>1</v>
      </c>
    </row>
    <row r="7" ht="19.5" customHeight="1">
      <c r="B7" t="s">
        <v>529</v>
      </c>
    </row>
    <row r="8" ht="19.5" customHeight="1"/>
    <row r="9" ht="19.5" customHeight="1"/>
    <row r="10" ht="19.5" customHeight="1"/>
    <row r="11" ht="19.5" customHeight="1"/>
    <row r="12" ht="29.25" customHeight="1"/>
    <row r="14" ht="168.75" customHeight="1"/>
    <row r="15" ht="15.75" customHeight="1"/>
    <row r="17" spans="2:12" ht="51">
      <c r="B17" s="1015"/>
      <c r="C17" s="1016" t="s">
        <v>671</v>
      </c>
      <c r="D17" s="1016" t="s">
        <v>438</v>
      </c>
      <c r="E17" s="1016" t="s">
        <v>439</v>
      </c>
      <c r="F17" s="1016" t="s">
        <v>531</v>
      </c>
      <c r="I17" s="229"/>
      <c r="J17" s="229"/>
      <c r="K17" s="229"/>
      <c r="L17" s="229"/>
    </row>
    <row r="18" spans="2:12" ht="12.75">
      <c r="B18" s="1017" t="s">
        <v>138</v>
      </c>
      <c r="C18" s="1018">
        <f>'POS Mediu'!B65</f>
        <v>9971900</v>
      </c>
      <c r="D18" s="1018">
        <f>'POS Mediu'!B66</f>
        <v>13088651.020000001</v>
      </c>
      <c r="E18" s="1018">
        <f>'POS Mediu'!B67</f>
        <v>3138904.42</v>
      </c>
      <c r="F18" s="1018">
        <f aca="true" t="shared" si="0" ref="F18:F24">SUM(C18:E18)</f>
        <v>26199455.440000005</v>
      </c>
      <c r="H18" s="128"/>
      <c r="I18" s="194"/>
      <c r="J18" s="194"/>
      <c r="K18" s="194"/>
      <c r="L18" s="194"/>
    </row>
    <row r="19" spans="2:6" ht="12.75">
      <c r="B19" s="1017" t="s">
        <v>139</v>
      </c>
      <c r="C19" s="1018">
        <f>'POS CCE'!C97</f>
        <v>19613384.03953488</v>
      </c>
      <c r="D19" s="1018">
        <f>'POS CCE'!C98</f>
        <v>14145634.069767442</v>
      </c>
      <c r="E19" s="1018">
        <f>'POS CCE'!C99</f>
        <v>3247402.1627906975</v>
      </c>
      <c r="F19" s="1018">
        <f t="shared" si="0"/>
        <v>37006420.27209303</v>
      </c>
    </row>
    <row r="20" spans="2:6" ht="12.75">
      <c r="B20" s="1017" t="s">
        <v>140</v>
      </c>
      <c r="C20" s="1018">
        <f>'POS DRU'!C116</f>
        <v>20007739.65</v>
      </c>
      <c r="D20" s="1018">
        <f>'POS DRU'!C116</f>
        <v>20007739.65</v>
      </c>
      <c r="E20" s="1018">
        <f>'POS DRU'!C118</f>
        <v>3643869.78</v>
      </c>
      <c r="F20" s="1018">
        <f t="shared" si="0"/>
        <v>43659349.08</v>
      </c>
    </row>
    <row r="21" spans="2:6" ht="12.75">
      <c r="B21" s="1017" t="s">
        <v>144</v>
      </c>
      <c r="C21" s="1018">
        <f>POR!D85</f>
        <v>37198526.748209074</v>
      </c>
      <c r="D21" s="1018">
        <f>POR!D86</f>
        <v>4249512.939203128</v>
      </c>
      <c r="E21" s="1018">
        <f>POR!D87</f>
        <v>2428013.4000000004</v>
      </c>
      <c r="F21" s="1018">
        <f t="shared" si="0"/>
        <v>43876053.0874122</v>
      </c>
    </row>
    <row r="22" spans="2:6" ht="12.75">
      <c r="B22" s="1017" t="s">
        <v>141</v>
      </c>
      <c r="C22" s="1018">
        <f>PODCA!B34</f>
        <v>3443638.58</v>
      </c>
      <c r="D22" s="1018">
        <f>PODCA!B35</f>
        <v>2603681.7199999997</v>
      </c>
      <c r="E22" s="1018">
        <f>PODCA!B36</f>
        <v>1391139.8</v>
      </c>
      <c r="F22" s="1018">
        <f t="shared" si="0"/>
        <v>7438460.1</v>
      </c>
    </row>
    <row r="23" spans="2:6" ht="12.75">
      <c r="B23" s="1017" t="s">
        <v>142</v>
      </c>
      <c r="C23" s="1018">
        <f>POST!B72</f>
        <v>27320542</v>
      </c>
      <c r="D23" s="1018">
        <f>POST!B73</f>
        <v>5421056</v>
      </c>
      <c r="E23" s="1018">
        <f>POST!B74</f>
        <v>388421</v>
      </c>
      <c r="F23" s="1018">
        <f t="shared" si="0"/>
        <v>33130019</v>
      </c>
    </row>
    <row r="24" spans="2:6" ht="12.75">
      <c r="B24" s="1017" t="s">
        <v>143</v>
      </c>
      <c r="C24" s="1018">
        <f>POAT!D119</f>
        <v>22947612.58483721</v>
      </c>
      <c r="D24" s="1018">
        <f>POAT!D120</f>
        <v>122790417.71860467</v>
      </c>
      <c r="E24" s="1018">
        <f>POAT!D121</f>
        <v>21551376.744186047</v>
      </c>
      <c r="F24" s="1018">
        <f t="shared" si="0"/>
        <v>167289407.04762793</v>
      </c>
    </row>
    <row r="25" spans="2:6" ht="12.75">
      <c r="B25" s="1017" t="s">
        <v>531</v>
      </c>
      <c r="C25" s="1018">
        <f>SUM(C18:C24)</f>
        <v>140503343.60258117</v>
      </c>
      <c r="D25" s="1018">
        <f>SUM(D18:D24)</f>
        <v>182306693.11757523</v>
      </c>
      <c r="E25" s="1018">
        <f>SUM(E18:E24)</f>
        <v>35789127.30697674</v>
      </c>
      <c r="F25" s="1018">
        <f>SUM(F18:F24)</f>
        <v>358599164.02713317</v>
      </c>
    </row>
  </sheetData>
  <sheetProtection/>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cristina.patrascoiu</dc:creator>
  <cp:keywords/>
  <dc:description/>
  <cp:lastModifiedBy>cristina.patrascoiu</cp:lastModifiedBy>
  <cp:lastPrinted>2012-02-11T10:44:54Z</cp:lastPrinted>
  <dcterms:created xsi:type="dcterms:W3CDTF">2010-11-29T13:43:55Z</dcterms:created>
  <dcterms:modified xsi:type="dcterms:W3CDTF">2012-02-13T08:04:30Z</dcterms:modified>
  <cp:category/>
  <cp:version/>
  <cp:contentType/>
  <cp:contentStatus/>
</cp:coreProperties>
</file>